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0\Desktop\ЭМР 24\Неделя 11\"/>
    </mc:Choice>
  </mc:AlternateContent>
  <bookViews>
    <workbookView xWindow="0" yWindow="0" windowWidth="23040" windowHeight="9384" tabRatio="672" firstSheet="8" activeTab="19"/>
  </bookViews>
  <sheets>
    <sheet name="И. Д." sheetId="1" r:id="rId1"/>
    <sheet name="ТЭП" sheetId="22" r:id="rId2"/>
    <sheet name="ФЭМ 0.9" sheetId="5" r:id="rId3"/>
    <sheet name="Запасы" sheetId="6" state="hidden" r:id="rId4"/>
    <sheet name="ФЭМ 1.2" sheetId="20" r:id="rId5"/>
    <sheet name="ФЭМ 1.5" sheetId="21" r:id="rId6"/>
    <sheet name="Расч эксп запасов" sheetId="7" state="hidden" r:id="rId7"/>
    <sheet name="календари" sheetId="8" r:id="rId8"/>
    <sheet name="Данные по переработке" sheetId="3" r:id="rId9"/>
    <sheet name="цены и инфл" sheetId="10" r:id="rId10"/>
    <sheet name="Инфл. тенге" sheetId="4" r:id="rId11"/>
    <sheet name="П и Р для залежей" sheetId="2" state="hidden" r:id="rId12"/>
    <sheet name="изв металл" sheetId="9" r:id="rId13"/>
    <sheet name="ОС" sheetId="12" r:id="rId14"/>
    <sheet name="Аморт ОС" sheetId="13" r:id="rId15"/>
    <sheet name="Аморт ГКР" sheetId="14" r:id="rId16"/>
    <sheet name="Обнов об.1 оч" sheetId="17" r:id="rId17"/>
    <sheet name="Обнов обор 2 оч" sheetId="16" r:id="rId18"/>
    <sheet name="ПИР" sheetId="19" r:id="rId19"/>
    <sheet name="Амор на доп обор" sheetId="18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8" i="22" l="1"/>
  <c r="F118" i="22"/>
  <c r="E118" i="22" s="1"/>
  <c r="H118" i="22"/>
  <c r="D178" i="22"/>
  <c r="F178" i="22"/>
  <c r="H178" i="22"/>
  <c r="D181" i="22"/>
  <c r="F181" i="22"/>
  <c r="H181" i="22"/>
  <c r="D240" i="22"/>
  <c r="F240" i="22"/>
  <c r="H240" i="22"/>
  <c r="B203" i="22"/>
  <c r="M23" i="14"/>
  <c r="G94" i="21"/>
  <c r="H94" i="21"/>
  <c r="I94" i="21"/>
  <c r="J94" i="21"/>
  <c r="K94" i="21"/>
  <c r="L94" i="21"/>
  <c r="M94" i="21"/>
  <c r="N94" i="21"/>
  <c r="O94" i="21"/>
  <c r="O233" i="21" s="1"/>
  <c r="P94" i="21"/>
  <c r="Q94" i="21"/>
  <c r="F94" i="21"/>
  <c r="G22" i="21"/>
  <c r="G23" i="14" s="1"/>
  <c r="H22" i="21"/>
  <c r="H23" i="14" s="1"/>
  <c r="I22" i="21"/>
  <c r="I23" i="14" s="1"/>
  <c r="J22" i="21"/>
  <c r="H33" i="22" s="1"/>
  <c r="K22" i="21"/>
  <c r="K23" i="14" s="1"/>
  <c r="L22" i="21"/>
  <c r="L23" i="14" s="1"/>
  <c r="M22" i="21"/>
  <c r="N22" i="21"/>
  <c r="N23" i="14" s="1"/>
  <c r="O22" i="21"/>
  <c r="O23" i="14" s="1"/>
  <c r="P22" i="21"/>
  <c r="P23" i="14" s="1"/>
  <c r="Q22" i="21"/>
  <c r="Q23" i="14" s="1"/>
  <c r="F22" i="21"/>
  <c r="F23" i="14" s="1"/>
  <c r="D19" i="21"/>
  <c r="H17" i="22" s="1"/>
  <c r="D18" i="21"/>
  <c r="H16" i="22" s="1"/>
  <c r="D17" i="21"/>
  <c r="H15" i="22" s="1"/>
  <c r="D16" i="21"/>
  <c r="H14" i="22" s="1"/>
  <c r="D15" i="21"/>
  <c r="H13" i="22" s="1"/>
  <c r="L235" i="21"/>
  <c r="K235" i="21"/>
  <c r="J235" i="21"/>
  <c r="I235" i="21"/>
  <c r="H235" i="21"/>
  <c r="E235" i="21"/>
  <c r="F214" i="21"/>
  <c r="G214" i="21" s="1"/>
  <c r="B202" i="21"/>
  <c r="D135" i="21"/>
  <c r="H136" i="22" s="1"/>
  <c r="F109" i="21"/>
  <c r="F108" i="21"/>
  <c r="F107" i="21"/>
  <c r="F106" i="21"/>
  <c r="F105" i="21"/>
  <c r="P104" i="21"/>
  <c r="O104" i="21"/>
  <c r="N104" i="21"/>
  <c r="M104" i="21"/>
  <c r="L104" i="21"/>
  <c r="K104" i="21"/>
  <c r="J104" i="21"/>
  <c r="I104" i="21"/>
  <c r="H104" i="21"/>
  <c r="G104" i="21"/>
  <c r="F104" i="21"/>
  <c r="F103" i="21"/>
  <c r="D99" i="21"/>
  <c r="D98" i="21"/>
  <c r="Q233" i="21"/>
  <c r="P233" i="21"/>
  <c r="N233" i="21"/>
  <c r="M233" i="21"/>
  <c r="L233" i="21"/>
  <c r="K233" i="21"/>
  <c r="D85" i="21"/>
  <c r="H86" i="22" s="1"/>
  <c r="D84" i="21"/>
  <c r="D83" i="21"/>
  <c r="H84" i="22" s="1"/>
  <c r="F57" i="21"/>
  <c r="G57" i="21" s="1"/>
  <c r="H57" i="21" s="1"/>
  <c r="I57" i="21" s="1"/>
  <c r="J57" i="21" s="1"/>
  <c r="K57" i="21" s="1"/>
  <c r="L57" i="21" s="1"/>
  <c r="M57" i="21" s="1"/>
  <c r="N57" i="21" s="1"/>
  <c r="O57" i="21" s="1"/>
  <c r="P57" i="21" s="1"/>
  <c r="Q57" i="21" s="1"/>
  <c r="D57" i="21"/>
  <c r="H58" i="22" s="1"/>
  <c r="D56" i="21"/>
  <c r="D54" i="21"/>
  <c r="D53" i="21"/>
  <c r="H54" i="22" s="1"/>
  <c r="D52" i="21"/>
  <c r="D50" i="21"/>
  <c r="D49" i="21"/>
  <c r="D48" i="21"/>
  <c r="D40" i="21"/>
  <c r="D39" i="21"/>
  <c r="H40" i="22" s="1"/>
  <c r="D38" i="21"/>
  <c r="Q36" i="21"/>
  <c r="Q95" i="21"/>
  <c r="P95" i="21"/>
  <c r="O95" i="21"/>
  <c r="N95" i="21"/>
  <c r="M95" i="21"/>
  <c r="L95" i="21"/>
  <c r="K95" i="21"/>
  <c r="J95" i="21"/>
  <c r="I95" i="21"/>
  <c r="H95" i="21"/>
  <c r="G95" i="21"/>
  <c r="D22" i="21"/>
  <c r="G6" i="21"/>
  <c r="H6" i="21" s="1"/>
  <c r="I6" i="21" s="1"/>
  <c r="J6" i="21" s="1"/>
  <c r="K6" i="21" s="1"/>
  <c r="L6" i="21" s="1"/>
  <c r="M6" i="21" s="1"/>
  <c r="N6" i="21" s="1"/>
  <c r="O6" i="21" s="1"/>
  <c r="P6" i="21" s="1"/>
  <c r="Q6" i="21" s="1"/>
  <c r="D248" i="21" s="1"/>
  <c r="H249" i="22" s="1"/>
  <c r="U237" i="5"/>
  <c r="T237" i="5"/>
  <c r="G94" i="20"/>
  <c r="H94" i="20"/>
  <c r="I94" i="20"/>
  <c r="J94" i="20"/>
  <c r="K94" i="20"/>
  <c r="L94" i="20"/>
  <c r="M94" i="20"/>
  <c r="N94" i="20"/>
  <c r="N233" i="20" s="1"/>
  <c r="O94" i="20"/>
  <c r="P94" i="20"/>
  <c r="Q94" i="20"/>
  <c r="R94" i="20"/>
  <c r="F94" i="20"/>
  <c r="G22" i="20"/>
  <c r="G15" i="14" s="1"/>
  <c r="H22" i="20"/>
  <c r="H15" i="14" s="1"/>
  <c r="I22" i="20"/>
  <c r="J22" i="20"/>
  <c r="J15" i="14" s="1"/>
  <c r="K22" i="20"/>
  <c r="K15" i="14" s="1"/>
  <c r="L22" i="20"/>
  <c r="L15" i="14" s="1"/>
  <c r="M22" i="20"/>
  <c r="M15" i="14" s="1"/>
  <c r="N22" i="20"/>
  <c r="N15" i="14" s="1"/>
  <c r="O22" i="20"/>
  <c r="O15" i="14" s="1"/>
  <c r="P22" i="20"/>
  <c r="P15" i="14" s="1"/>
  <c r="Q22" i="20"/>
  <c r="Q15" i="14" s="1"/>
  <c r="R22" i="20"/>
  <c r="R15" i="14" s="1"/>
  <c r="F22" i="20"/>
  <c r="D19" i="20"/>
  <c r="F17" i="22" s="1"/>
  <c r="D18" i="20"/>
  <c r="F16" i="22" s="1"/>
  <c r="D17" i="20"/>
  <c r="F15" i="22" s="1"/>
  <c r="D16" i="20"/>
  <c r="F14" i="22" s="1"/>
  <c r="D15" i="20"/>
  <c r="F13" i="22" s="1"/>
  <c r="L235" i="20"/>
  <c r="K235" i="20"/>
  <c r="J235" i="20"/>
  <c r="I235" i="20"/>
  <c r="H235" i="20"/>
  <c r="E235" i="20"/>
  <c r="F214" i="20"/>
  <c r="G214" i="20" s="1"/>
  <c r="B202" i="20"/>
  <c r="D135" i="20"/>
  <c r="F136" i="22" s="1"/>
  <c r="F109" i="20"/>
  <c r="F108" i="20"/>
  <c r="F107" i="20"/>
  <c r="F106" i="20"/>
  <c r="F105" i="20"/>
  <c r="P104" i="20"/>
  <c r="O104" i="20"/>
  <c r="N104" i="20"/>
  <c r="M104" i="20"/>
  <c r="L104" i="20"/>
  <c r="K104" i="20"/>
  <c r="J104" i="20"/>
  <c r="I104" i="20"/>
  <c r="H104" i="20"/>
  <c r="G104" i="20"/>
  <c r="F104" i="20"/>
  <c r="F103" i="20"/>
  <c r="D99" i="20"/>
  <c r="D98" i="20"/>
  <c r="R233" i="20"/>
  <c r="R230" i="20" s="1"/>
  <c r="Q233" i="20"/>
  <c r="P233" i="20"/>
  <c r="O233" i="20"/>
  <c r="M233" i="20"/>
  <c r="L233" i="20"/>
  <c r="K233" i="20"/>
  <c r="D85" i="20"/>
  <c r="G85" i="20" s="1"/>
  <c r="H85" i="20" s="1"/>
  <c r="I85" i="20" s="1"/>
  <c r="J85" i="20" s="1"/>
  <c r="K85" i="20" s="1"/>
  <c r="L85" i="20" s="1"/>
  <c r="M85" i="20" s="1"/>
  <c r="N85" i="20" s="1"/>
  <c r="O85" i="20" s="1"/>
  <c r="P85" i="20" s="1"/>
  <c r="Q85" i="20" s="1"/>
  <c r="R85" i="20" s="1"/>
  <c r="D84" i="20"/>
  <c r="F85" i="22" s="1"/>
  <c r="D83" i="20"/>
  <c r="D57" i="20"/>
  <c r="D56" i="20"/>
  <c r="D54" i="20"/>
  <c r="D53" i="20"/>
  <c r="D52" i="20"/>
  <c r="D50" i="20"/>
  <c r="D49" i="20"/>
  <c r="D48" i="20"/>
  <c r="D40" i="20"/>
  <c r="D39" i="20"/>
  <c r="D38" i="20"/>
  <c r="O36" i="20"/>
  <c r="K36" i="20"/>
  <c r="G36" i="20"/>
  <c r="R95" i="20"/>
  <c r="Q95" i="20"/>
  <c r="O95" i="20"/>
  <c r="N95" i="20"/>
  <c r="M95" i="20"/>
  <c r="L95" i="20"/>
  <c r="K95" i="20"/>
  <c r="J95" i="20"/>
  <c r="I95" i="20"/>
  <c r="G95" i="20"/>
  <c r="F36" i="20"/>
  <c r="H6" i="20"/>
  <c r="I6" i="20" s="1"/>
  <c r="J6" i="20" s="1"/>
  <c r="K6" i="20" s="1"/>
  <c r="L6" i="20" s="1"/>
  <c r="M6" i="20" s="1"/>
  <c r="N6" i="20" s="1"/>
  <c r="O6" i="20" s="1"/>
  <c r="P6" i="20" s="1"/>
  <c r="Q6" i="20" s="1"/>
  <c r="R6" i="20" s="1"/>
  <c r="D248" i="20" s="1"/>
  <c r="F249" i="22" s="1"/>
  <c r="G6" i="20"/>
  <c r="F48" i="20" l="1"/>
  <c r="G48" i="20" s="1"/>
  <c r="H48" i="20" s="1"/>
  <c r="I48" i="20" s="1"/>
  <c r="J48" i="20" s="1"/>
  <c r="K48" i="20" s="1"/>
  <c r="L48" i="20" s="1"/>
  <c r="M48" i="20" s="1"/>
  <c r="N48" i="20" s="1"/>
  <c r="O48" i="20" s="1"/>
  <c r="P48" i="20" s="1"/>
  <c r="Q48" i="20" s="1"/>
  <c r="R48" i="20" s="1"/>
  <c r="F49" i="22"/>
  <c r="G83" i="20"/>
  <c r="H83" i="20" s="1"/>
  <c r="I83" i="20" s="1"/>
  <c r="J83" i="20" s="1"/>
  <c r="K83" i="20" s="1"/>
  <c r="L83" i="20" s="1"/>
  <c r="M83" i="20" s="1"/>
  <c r="N83" i="20" s="1"/>
  <c r="O83" i="20" s="1"/>
  <c r="P83" i="20" s="1"/>
  <c r="Q83" i="20" s="1"/>
  <c r="R83" i="20" s="1"/>
  <c r="F84" i="22"/>
  <c r="I15" i="14"/>
  <c r="F33" i="22"/>
  <c r="H95" i="20"/>
  <c r="P95" i="20"/>
  <c r="F50" i="20"/>
  <c r="G50" i="20" s="1"/>
  <c r="H50" i="20" s="1"/>
  <c r="I50" i="20" s="1"/>
  <c r="J50" i="20" s="1"/>
  <c r="F51" i="22"/>
  <c r="F85" i="20"/>
  <c r="F86" i="22"/>
  <c r="F53" i="20"/>
  <c r="G53" i="20" s="1"/>
  <c r="H53" i="20" s="1"/>
  <c r="F54" i="22"/>
  <c r="H20" i="22"/>
  <c r="D22" i="14"/>
  <c r="F49" i="21"/>
  <c r="G49" i="21" s="1"/>
  <c r="H49" i="21" s="1"/>
  <c r="I49" i="21" s="1"/>
  <c r="J49" i="21" s="1"/>
  <c r="K49" i="21" s="1"/>
  <c r="L49" i="21" s="1"/>
  <c r="M49" i="21" s="1"/>
  <c r="N49" i="21" s="1"/>
  <c r="O49" i="21" s="1"/>
  <c r="H50" i="22"/>
  <c r="F49" i="20"/>
  <c r="G49" i="20" s="1"/>
  <c r="H49" i="20" s="1"/>
  <c r="I49" i="20" s="1"/>
  <c r="J49" i="20" s="1"/>
  <c r="K49" i="20" s="1"/>
  <c r="L49" i="20" s="1"/>
  <c r="M49" i="20" s="1"/>
  <c r="N49" i="20" s="1"/>
  <c r="O49" i="20" s="1"/>
  <c r="P49" i="20" s="1"/>
  <c r="Q49" i="20" s="1"/>
  <c r="R49" i="20" s="1"/>
  <c r="F50" i="22"/>
  <c r="F52" i="20"/>
  <c r="G52" i="20" s="1"/>
  <c r="F53" i="22"/>
  <c r="R38" i="20"/>
  <c r="F39" i="22"/>
  <c r="F54" i="20"/>
  <c r="G54" i="20" s="1"/>
  <c r="H54" i="20" s="1"/>
  <c r="I54" i="20" s="1"/>
  <c r="F55" i="22"/>
  <c r="O39" i="20"/>
  <c r="F40" i="22"/>
  <c r="F56" i="20"/>
  <c r="F57" i="22"/>
  <c r="F15" i="14"/>
  <c r="F34" i="22"/>
  <c r="Q40" i="20"/>
  <c r="F41" i="22"/>
  <c r="F57" i="20"/>
  <c r="G57" i="20" s="1"/>
  <c r="H57" i="20" s="1"/>
  <c r="I57" i="20" s="1"/>
  <c r="J57" i="20" s="1"/>
  <c r="K57" i="20" s="1"/>
  <c r="L57" i="20" s="1"/>
  <c r="M57" i="20" s="1"/>
  <c r="N57" i="20" s="1"/>
  <c r="O57" i="20" s="1"/>
  <c r="P57" i="20" s="1"/>
  <c r="Q57" i="20" s="1"/>
  <c r="R57" i="20" s="1"/>
  <c r="F58" i="22"/>
  <c r="F50" i="21"/>
  <c r="G50" i="21" s="1"/>
  <c r="H50" i="21" s="1"/>
  <c r="I50" i="21" s="1"/>
  <c r="J50" i="21" s="1"/>
  <c r="K50" i="21" s="1"/>
  <c r="L50" i="21" s="1"/>
  <c r="M50" i="21" s="1"/>
  <c r="N50" i="21" s="1"/>
  <c r="O50" i="21" s="1"/>
  <c r="P50" i="21" s="1"/>
  <c r="Q50" i="21" s="1"/>
  <c r="H51" i="22"/>
  <c r="G51" i="22" s="1"/>
  <c r="F52" i="21"/>
  <c r="G52" i="21" s="1"/>
  <c r="H52" i="21" s="1"/>
  <c r="I52" i="21" s="1"/>
  <c r="J52" i="21" s="1"/>
  <c r="K52" i="21" s="1"/>
  <c r="L52" i="21" s="1"/>
  <c r="M52" i="21" s="1"/>
  <c r="N52" i="21" s="1"/>
  <c r="O52" i="21" s="1"/>
  <c r="P52" i="21" s="1"/>
  <c r="Q52" i="21" s="1"/>
  <c r="H53" i="22"/>
  <c r="F84" i="21"/>
  <c r="H85" i="22"/>
  <c r="Q38" i="21"/>
  <c r="H39" i="22"/>
  <c r="G84" i="21"/>
  <c r="H84" i="21" s="1"/>
  <c r="I84" i="21" s="1"/>
  <c r="J84" i="21" s="1"/>
  <c r="K84" i="21" s="1"/>
  <c r="L84" i="21" s="1"/>
  <c r="M84" i="21" s="1"/>
  <c r="N84" i="21" s="1"/>
  <c r="O84" i="21" s="1"/>
  <c r="P84" i="21" s="1"/>
  <c r="Q84" i="21" s="1"/>
  <c r="J23" i="14"/>
  <c r="H38" i="21"/>
  <c r="F53" i="21"/>
  <c r="G53" i="21" s="1"/>
  <c r="H53" i="21" s="1"/>
  <c r="I53" i="21" s="1"/>
  <c r="J53" i="21" s="1"/>
  <c r="K53" i="21" s="1"/>
  <c r="L53" i="21" s="1"/>
  <c r="M53" i="21" s="1"/>
  <c r="N53" i="21" s="1"/>
  <c r="O53" i="21" s="1"/>
  <c r="P53" i="21" s="1"/>
  <c r="Q53" i="21" s="1"/>
  <c r="H34" i="22"/>
  <c r="F54" i="21"/>
  <c r="G54" i="21" s="1"/>
  <c r="H54" i="21" s="1"/>
  <c r="I54" i="21" s="1"/>
  <c r="J54" i="21" s="1"/>
  <c r="K54" i="21" s="1"/>
  <c r="L54" i="21" s="1"/>
  <c r="M54" i="21" s="1"/>
  <c r="N54" i="21" s="1"/>
  <c r="O54" i="21" s="1"/>
  <c r="P54" i="21" s="1"/>
  <c r="Q54" i="21" s="1"/>
  <c r="H55" i="22"/>
  <c r="Q40" i="21"/>
  <c r="Q45" i="21" s="1"/>
  <c r="H41" i="22"/>
  <c r="F56" i="21"/>
  <c r="G56" i="21" s="1"/>
  <c r="H56" i="21" s="1"/>
  <c r="I56" i="21" s="1"/>
  <c r="J56" i="21" s="1"/>
  <c r="K56" i="21" s="1"/>
  <c r="L56" i="21" s="1"/>
  <c r="M56" i="21" s="1"/>
  <c r="N56" i="21" s="1"/>
  <c r="O56" i="21" s="1"/>
  <c r="P56" i="21" s="1"/>
  <c r="Q56" i="21" s="1"/>
  <c r="H57" i="22"/>
  <c r="G57" i="22" s="1"/>
  <c r="F48" i="21"/>
  <c r="G48" i="21" s="1"/>
  <c r="H48" i="21" s="1"/>
  <c r="I48" i="21" s="1"/>
  <c r="J48" i="21" s="1"/>
  <c r="K48" i="21" s="1"/>
  <c r="L48" i="21" s="1"/>
  <c r="M48" i="21" s="1"/>
  <c r="N48" i="21" s="1"/>
  <c r="O48" i="21" s="1"/>
  <c r="P48" i="21" s="1"/>
  <c r="Q48" i="21" s="1"/>
  <c r="H49" i="22"/>
  <c r="G58" i="22"/>
  <c r="G15" i="22"/>
  <c r="G50" i="22"/>
  <c r="G14" i="22"/>
  <c r="E181" i="22"/>
  <c r="E240" i="22"/>
  <c r="G54" i="22"/>
  <c r="G53" i="22"/>
  <c r="G40" i="22"/>
  <c r="H36" i="22"/>
  <c r="G49" i="22"/>
  <c r="G13" i="22"/>
  <c r="E178" i="22"/>
  <c r="G249" i="22"/>
  <c r="G178" i="22"/>
  <c r="G181" i="22"/>
  <c r="G16" i="22"/>
  <c r="G136" i="22"/>
  <c r="G118" i="22"/>
  <c r="G55" i="22"/>
  <c r="G17" i="22"/>
  <c r="H37" i="22"/>
  <c r="G240" i="22"/>
  <c r="F38" i="21"/>
  <c r="P38" i="21"/>
  <c r="K38" i="21"/>
  <c r="N38" i="21"/>
  <c r="J38" i="21"/>
  <c r="O38" i="21"/>
  <c r="F40" i="21"/>
  <c r="K40" i="21"/>
  <c r="P40" i="21"/>
  <c r="G40" i="21"/>
  <c r="L40" i="21"/>
  <c r="D94" i="21"/>
  <c r="H95" i="22" s="1"/>
  <c r="G38" i="21"/>
  <c r="L38" i="21"/>
  <c r="H40" i="21"/>
  <c r="N40" i="21"/>
  <c r="J40" i="21"/>
  <c r="O40" i="21"/>
  <c r="P49" i="21"/>
  <c r="Q49" i="21" s="1"/>
  <c r="G36" i="21"/>
  <c r="K36" i="21"/>
  <c r="O36" i="21"/>
  <c r="I38" i="21"/>
  <c r="M38" i="21"/>
  <c r="G39" i="21"/>
  <c r="K39" i="21"/>
  <c r="O39" i="21"/>
  <c r="I40" i="21"/>
  <c r="M40" i="21"/>
  <c r="F95" i="21"/>
  <c r="H36" i="21"/>
  <c r="L36" i="21"/>
  <c r="P36" i="21"/>
  <c r="H39" i="21"/>
  <c r="L39" i="21"/>
  <c r="P39" i="21"/>
  <c r="F83" i="21"/>
  <c r="G83" i="21"/>
  <c r="H83" i="21" s="1"/>
  <c r="I83" i="21" s="1"/>
  <c r="J83" i="21" s="1"/>
  <c r="K83" i="21" s="1"/>
  <c r="L83" i="21" s="1"/>
  <c r="M83" i="21" s="1"/>
  <c r="N83" i="21" s="1"/>
  <c r="O83" i="21" s="1"/>
  <c r="P83" i="21" s="1"/>
  <c r="Q83" i="21" s="1"/>
  <c r="I36" i="21"/>
  <c r="M36" i="21"/>
  <c r="I39" i="21"/>
  <c r="M39" i="21"/>
  <c r="Q39" i="21"/>
  <c r="Q44" i="21" s="1"/>
  <c r="Q43" i="21"/>
  <c r="F85" i="21"/>
  <c r="G85" i="21"/>
  <c r="H85" i="21" s="1"/>
  <c r="I85" i="21" s="1"/>
  <c r="J85" i="21" s="1"/>
  <c r="K85" i="21" s="1"/>
  <c r="L85" i="21" s="1"/>
  <c r="M85" i="21" s="1"/>
  <c r="N85" i="21" s="1"/>
  <c r="O85" i="21" s="1"/>
  <c r="P85" i="21" s="1"/>
  <c r="Q85" i="21" s="1"/>
  <c r="F36" i="21"/>
  <c r="J36" i="21"/>
  <c r="N36" i="21"/>
  <c r="F39" i="21"/>
  <c r="J39" i="21"/>
  <c r="N39" i="21"/>
  <c r="H214" i="21"/>
  <c r="K50" i="20"/>
  <c r="L50" i="20" s="1"/>
  <c r="M50" i="20" s="1"/>
  <c r="N50" i="20" s="1"/>
  <c r="O50" i="20" s="1"/>
  <c r="P50" i="20" s="1"/>
  <c r="Q50" i="20" s="1"/>
  <c r="R50" i="20" s="1"/>
  <c r="H38" i="20"/>
  <c r="G40" i="20"/>
  <c r="G45" i="20" s="1"/>
  <c r="P38" i="20"/>
  <c r="L40" i="20"/>
  <c r="R40" i="20"/>
  <c r="H40" i="20"/>
  <c r="N40" i="20"/>
  <c r="J40" i="20"/>
  <c r="O40" i="20"/>
  <c r="O45" i="20" s="1"/>
  <c r="L38" i="20"/>
  <c r="F40" i="20"/>
  <c r="F45" i="20" s="1"/>
  <c r="K40" i="20"/>
  <c r="P40" i="20"/>
  <c r="H52" i="20"/>
  <c r="I52" i="20" s="1"/>
  <c r="J52" i="20" s="1"/>
  <c r="K52" i="20" s="1"/>
  <c r="L52" i="20" s="1"/>
  <c r="M52" i="20" s="1"/>
  <c r="N52" i="20" s="1"/>
  <c r="O52" i="20" s="1"/>
  <c r="I53" i="20"/>
  <c r="J53" i="20" s="1"/>
  <c r="K53" i="20" s="1"/>
  <c r="L53" i="20" s="1"/>
  <c r="M53" i="20" s="1"/>
  <c r="N53" i="20" s="1"/>
  <c r="O53" i="20" s="1"/>
  <c r="P53" i="20" s="1"/>
  <c r="J54" i="20"/>
  <c r="K54" i="20" s="1"/>
  <c r="L54" i="20" s="1"/>
  <c r="M54" i="20" s="1"/>
  <c r="N54" i="20" s="1"/>
  <c r="O54" i="20" s="1"/>
  <c r="P54" i="20" s="1"/>
  <c r="Q54" i="20" s="1"/>
  <c r="D22" i="20"/>
  <c r="I36" i="20"/>
  <c r="Q36" i="20"/>
  <c r="F38" i="20"/>
  <c r="F43" i="20" s="1"/>
  <c r="N38" i="20"/>
  <c r="G39" i="20"/>
  <c r="G44" i="20" s="1"/>
  <c r="K39" i="20"/>
  <c r="K44" i="20" s="1"/>
  <c r="G56" i="20"/>
  <c r="H56" i="20" s="1"/>
  <c r="I56" i="20" s="1"/>
  <c r="J56" i="20" s="1"/>
  <c r="J36" i="20"/>
  <c r="N36" i="20"/>
  <c r="R36" i="20"/>
  <c r="G38" i="20"/>
  <c r="G43" i="20" s="1"/>
  <c r="K38" i="20"/>
  <c r="K43" i="20" s="1"/>
  <c r="O38" i="20"/>
  <c r="O43" i="20" s="1"/>
  <c r="H39" i="20"/>
  <c r="L39" i="20"/>
  <c r="P39" i="20"/>
  <c r="I40" i="20"/>
  <c r="M40" i="20"/>
  <c r="O44" i="20"/>
  <c r="F84" i="20"/>
  <c r="G84" i="20"/>
  <c r="H84" i="20" s="1"/>
  <c r="I84" i="20" s="1"/>
  <c r="J84" i="20" s="1"/>
  <c r="K84" i="20" s="1"/>
  <c r="L84" i="20" s="1"/>
  <c r="M84" i="20" s="1"/>
  <c r="N84" i="20" s="1"/>
  <c r="O84" i="20" s="1"/>
  <c r="P84" i="20" s="1"/>
  <c r="Q84" i="20" s="1"/>
  <c r="R84" i="20" s="1"/>
  <c r="I39" i="20"/>
  <c r="M39" i="20"/>
  <c r="Q39" i="20"/>
  <c r="K45" i="20"/>
  <c r="H36" i="20"/>
  <c r="L36" i="20"/>
  <c r="P36" i="20"/>
  <c r="I38" i="20"/>
  <c r="M38" i="20"/>
  <c r="Q38" i="20"/>
  <c r="F39" i="20"/>
  <c r="F44" i="20" s="1"/>
  <c r="J39" i="20"/>
  <c r="N39" i="20"/>
  <c r="R39" i="20"/>
  <c r="F95" i="20"/>
  <c r="M36" i="20"/>
  <c r="J38" i="20"/>
  <c r="F83" i="20"/>
  <c r="D94" i="20"/>
  <c r="F95" i="22" s="1"/>
  <c r="H214" i="20"/>
  <c r="G41" i="22" l="1"/>
  <c r="D14" i="14"/>
  <c r="F14" i="14" s="1"/>
  <c r="G14" i="14" s="1"/>
  <c r="H14" i="14" s="1"/>
  <c r="I14" i="14" s="1"/>
  <c r="J14" i="14" s="1"/>
  <c r="K14" i="14" s="1"/>
  <c r="L14" i="14" s="1"/>
  <c r="M14" i="14" s="1"/>
  <c r="N14" i="14" s="1"/>
  <c r="O14" i="14" s="1"/>
  <c r="P14" i="14" s="1"/>
  <c r="Q14" i="14" s="1"/>
  <c r="R14" i="14" s="1"/>
  <c r="F20" i="22"/>
  <c r="G95" i="22"/>
  <c r="G39" i="22"/>
  <c r="J45" i="21"/>
  <c r="J43" i="21"/>
  <c r="J44" i="21"/>
  <c r="I45" i="21"/>
  <c r="I43" i="21"/>
  <c r="I44" i="21"/>
  <c r="H44" i="21"/>
  <c r="H45" i="21"/>
  <c r="H43" i="21"/>
  <c r="D95" i="21"/>
  <c r="H96" i="22" s="1"/>
  <c r="O44" i="21"/>
  <c r="O45" i="21"/>
  <c r="O43" i="21"/>
  <c r="I214" i="21"/>
  <c r="F45" i="21"/>
  <c r="F43" i="21"/>
  <c r="D36" i="21"/>
  <c r="F44" i="21"/>
  <c r="K44" i="21"/>
  <c r="K45" i="21"/>
  <c r="K43" i="21"/>
  <c r="P44" i="21"/>
  <c r="P45" i="21"/>
  <c r="P43" i="21"/>
  <c r="G44" i="21"/>
  <c r="G45" i="21"/>
  <c r="G43" i="21"/>
  <c r="N45" i="21"/>
  <c r="N43" i="21"/>
  <c r="N44" i="21"/>
  <c r="M45" i="21"/>
  <c r="M43" i="21"/>
  <c r="M44" i="21"/>
  <c r="L44" i="21"/>
  <c r="L45" i="21"/>
  <c r="L43" i="21"/>
  <c r="F16" i="14"/>
  <c r="D36" i="20"/>
  <c r="R45" i="20"/>
  <c r="R44" i="20"/>
  <c r="R43" i="20"/>
  <c r="R54" i="20"/>
  <c r="Q53" i="20"/>
  <c r="I214" i="20"/>
  <c r="P44" i="20"/>
  <c r="P43" i="20"/>
  <c r="P45" i="20"/>
  <c r="N45" i="20"/>
  <c r="N43" i="20"/>
  <c r="N44" i="20"/>
  <c r="K56" i="20"/>
  <c r="Q44" i="20"/>
  <c r="Q45" i="20"/>
  <c r="Q43" i="20"/>
  <c r="P52" i="20"/>
  <c r="M44" i="20"/>
  <c r="M45" i="20"/>
  <c r="M43" i="20"/>
  <c r="D95" i="20"/>
  <c r="F96" i="22" s="1"/>
  <c r="L44" i="20"/>
  <c r="L45" i="20"/>
  <c r="L43" i="20"/>
  <c r="J45" i="20"/>
  <c r="J44" i="20"/>
  <c r="J43" i="20"/>
  <c r="I44" i="20"/>
  <c r="I45" i="20"/>
  <c r="I43" i="20"/>
  <c r="H44" i="20"/>
  <c r="H43" i="20"/>
  <c r="H45" i="20"/>
  <c r="G20" i="22" l="1"/>
  <c r="G36" i="22" s="1"/>
  <c r="F37" i="22"/>
  <c r="F36" i="22"/>
  <c r="G96" i="22"/>
  <c r="J214" i="21"/>
  <c r="D43" i="21"/>
  <c r="H44" i="22" s="1"/>
  <c r="G44" i="22" s="1"/>
  <c r="D45" i="21"/>
  <c r="H46" i="22" s="1"/>
  <c r="D44" i="21"/>
  <c r="H45" i="22" s="1"/>
  <c r="D43" i="20"/>
  <c r="F44" i="22" s="1"/>
  <c r="D44" i="20"/>
  <c r="F45" i="22" s="1"/>
  <c r="L56" i="20"/>
  <c r="D45" i="20"/>
  <c r="F46" i="22" s="1"/>
  <c r="Q52" i="20"/>
  <c r="J214" i="20"/>
  <c r="R53" i="20"/>
  <c r="G45" i="22" l="1"/>
  <c r="G37" i="22"/>
  <c r="G46" i="22"/>
  <c r="K214" i="21"/>
  <c r="R52" i="20"/>
  <c r="K214" i="20"/>
  <c r="M56" i="20"/>
  <c r="L214" i="21" l="1"/>
  <c r="N56" i="20"/>
  <c r="L214" i="20"/>
  <c r="M214" i="21" l="1"/>
  <c r="M214" i="20"/>
  <c r="O56" i="20"/>
  <c r="N214" i="21" l="1"/>
  <c r="P56" i="20"/>
  <c r="N214" i="20"/>
  <c r="O214" i="21" l="1"/>
  <c r="Q56" i="20"/>
  <c r="O214" i="20"/>
  <c r="P214" i="21" l="1"/>
  <c r="P214" i="20"/>
  <c r="R56" i="20"/>
  <c r="Q214" i="21" l="1"/>
  <c r="Q214" i="20"/>
  <c r="R214" i="20" l="1"/>
  <c r="D214" i="21" l="1"/>
  <c r="H215" i="22" s="1"/>
  <c r="D214" i="20" l="1"/>
  <c r="F215" i="22" s="1"/>
  <c r="G215" i="22" l="1"/>
  <c r="F4" i="12" l="1"/>
  <c r="F5" i="12"/>
  <c r="F6" i="12"/>
  <c r="F7" i="12"/>
  <c r="F3" i="12"/>
  <c r="G4" i="12"/>
  <c r="I4" i="12" s="1"/>
  <c r="D21" i="13" s="1"/>
  <c r="H4" i="12"/>
  <c r="G5" i="12"/>
  <c r="I5" i="12" s="1"/>
  <c r="D26" i="13" s="1"/>
  <c r="H5" i="12"/>
  <c r="G6" i="12"/>
  <c r="I6" i="12" s="1"/>
  <c r="D31" i="13" s="1"/>
  <c r="H6" i="12"/>
  <c r="G7" i="12"/>
  <c r="I7" i="12" s="1"/>
  <c r="H7" i="12"/>
  <c r="H3" i="12"/>
  <c r="G3" i="12"/>
  <c r="I3" i="12" s="1"/>
  <c r="D16" i="13" s="1"/>
  <c r="E235" i="5"/>
  <c r="G11" i="18"/>
  <c r="G235" i="5" s="1"/>
  <c r="F11" i="18"/>
  <c r="F235" i="5" s="1"/>
  <c r="G13" i="18"/>
  <c r="H13" i="18" s="1"/>
  <c r="I13" i="18" s="1"/>
  <c r="J13" i="18" s="1"/>
  <c r="K13" i="18" s="1"/>
  <c r="L13" i="18" s="1"/>
  <c r="M13" i="18" s="1"/>
  <c r="N13" i="18" s="1"/>
  <c r="O13" i="18" s="1"/>
  <c r="P13" i="18" s="1"/>
  <c r="Q13" i="18" s="1"/>
  <c r="R13" i="18" s="1"/>
  <c r="S13" i="18" s="1"/>
  <c r="Q11" i="18"/>
  <c r="P11" i="18"/>
  <c r="O11" i="18"/>
  <c r="N11" i="18"/>
  <c r="M11" i="18"/>
  <c r="L11" i="18"/>
  <c r="K11" i="18"/>
  <c r="J11" i="18"/>
  <c r="D11" i="18" s="1"/>
  <c r="I11" i="18"/>
  <c r="H11" i="18"/>
  <c r="F235" i="21" l="1"/>
  <c r="F235" i="20"/>
  <c r="G235" i="21"/>
  <c r="G235" i="20"/>
  <c r="F12" i="18"/>
  <c r="D235" i="21" l="1"/>
  <c r="H236" i="22" s="1"/>
  <c r="D235" i="20"/>
  <c r="F236" i="22" s="1"/>
  <c r="F14" i="18"/>
  <c r="G236" i="22" l="1"/>
  <c r="F15" i="18"/>
  <c r="G12" i="18" s="1"/>
  <c r="G14" i="18" l="1"/>
  <c r="G15" i="18" l="1"/>
  <c r="H12" i="18" s="1"/>
  <c r="H14" i="18" l="1"/>
  <c r="H15" i="18"/>
  <c r="I12" i="18" s="1"/>
  <c r="I14" i="18" l="1"/>
  <c r="I15" i="18"/>
  <c r="J12" i="18" s="1"/>
  <c r="J14" i="18" l="1"/>
  <c r="J15" i="18" s="1"/>
  <c r="K12" i="18" s="1"/>
  <c r="K14" i="18" l="1"/>
  <c r="K15" i="18" s="1"/>
  <c r="L12" i="18" s="1"/>
  <c r="L14" i="18" l="1"/>
  <c r="L15" i="18"/>
  <c r="M12" i="18" s="1"/>
  <c r="M14" i="18" l="1"/>
  <c r="M15" i="18"/>
  <c r="N12" i="18" s="1"/>
  <c r="N14" i="18" l="1"/>
  <c r="N15" i="18" s="1"/>
  <c r="O12" i="18" s="1"/>
  <c r="O14" i="18" l="1"/>
  <c r="O15" i="18" s="1"/>
  <c r="P12" i="18" s="1"/>
  <c r="P14" i="18" l="1"/>
  <c r="P15" i="18"/>
  <c r="Q12" i="18" s="1"/>
  <c r="Q14" i="18" l="1"/>
  <c r="Q15" i="18"/>
  <c r="R12" i="18" s="1"/>
  <c r="R14" i="18" l="1"/>
  <c r="R15" i="18" s="1"/>
  <c r="S12" i="18" s="1"/>
  <c r="S14" i="18" l="1"/>
  <c r="D14" i="18" s="1"/>
  <c r="S15" i="18" l="1"/>
  <c r="G8" i="18" l="1"/>
  <c r="H8" i="18" s="1"/>
  <c r="I8" i="18" s="1"/>
  <c r="J8" i="18" s="1"/>
  <c r="K8" i="18" s="1"/>
  <c r="L8" i="18" s="1"/>
  <c r="M8" i="18" s="1"/>
  <c r="N8" i="18" s="1"/>
  <c r="O8" i="18" s="1"/>
  <c r="P8" i="18" s="1"/>
  <c r="Q8" i="18" s="1"/>
  <c r="R8" i="18" s="1"/>
  <c r="S8" i="18" s="1"/>
  <c r="D49" i="17" l="1"/>
  <c r="O47" i="17"/>
  <c r="D47" i="17"/>
  <c r="F45" i="17"/>
  <c r="D45" i="17"/>
  <c r="D32" i="17"/>
  <c r="S31" i="17"/>
  <c r="R31" i="17"/>
  <c r="Q31" i="17"/>
  <c r="P31" i="17"/>
  <c r="O31" i="17"/>
  <c r="N31" i="17"/>
  <c r="M31" i="17"/>
  <c r="L31" i="17"/>
  <c r="K31" i="17"/>
  <c r="J31" i="17"/>
  <c r="I31" i="17"/>
  <c r="H31" i="17"/>
  <c r="F31" i="17"/>
  <c r="E31" i="17"/>
  <c r="S30" i="17"/>
  <c r="R30" i="17"/>
  <c r="Q30" i="17"/>
  <c r="P30" i="17"/>
  <c r="O30" i="17"/>
  <c r="N30" i="17"/>
  <c r="M30" i="17"/>
  <c r="L30" i="17"/>
  <c r="K30" i="17"/>
  <c r="J30" i="17"/>
  <c r="I30" i="17"/>
  <c r="H30" i="17"/>
  <c r="F30" i="17"/>
  <c r="E30" i="17"/>
  <c r="S27" i="17"/>
  <c r="R27" i="17"/>
  <c r="Q27" i="17"/>
  <c r="P27" i="17"/>
  <c r="O27" i="17"/>
  <c r="N27" i="17"/>
  <c r="M27" i="17"/>
  <c r="L27" i="17"/>
  <c r="K27" i="17"/>
  <c r="J27" i="17"/>
  <c r="I27" i="17"/>
  <c r="H27" i="17"/>
  <c r="F27" i="17"/>
  <c r="E27" i="17"/>
  <c r="S26" i="17"/>
  <c r="R26" i="17"/>
  <c r="Q26" i="17"/>
  <c r="P26" i="17"/>
  <c r="O26" i="17"/>
  <c r="N26" i="17"/>
  <c r="M26" i="17"/>
  <c r="L26" i="17"/>
  <c r="K26" i="17"/>
  <c r="J26" i="17"/>
  <c r="I26" i="17"/>
  <c r="H26" i="17"/>
  <c r="F26" i="17"/>
  <c r="E26" i="17"/>
  <c r="S23" i="17"/>
  <c r="R23" i="17"/>
  <c r="Q23" i="17"/>
  <c r="P23" i="17"/>
  <c r="O23" i="17"/>
  <c r="N23" i="17"/>
  <c r="M23" i="17"/>
  <c r="L23" i="17"/>
  <c r="K23" i="17"/>
  <c r="J23" i="17"/>
  <c r="I23" i="17"/>
  <c r="H23" i="17"/>
  <c r="F23" i="17"/>
  <c r="E23" i="17"/>
  <c r="S22" i="17"/>
  <c r="R22" i="17"/>
  <c r="Q22" i="17"/>
  <c r="P22" i="17"/>
  <c r="O22" i="17"/>
  <c r="N22" i="17"/>
  <c r="M22" i="17"/>
  <c r="L22" i="17"/>
  <c r="K22" i="17"/>
  <c r="J22" i="17"/>
  <c r="I22" i="17"/>
  <c r="H22" i="17"/>
  <c r="F22" i="17"/>
  <c r="E22" i="17"/>
  <c r="D20" i="17"/>
  <c r="E20" i="17" s="1"/>
  <c r="S19" i="17"/>
  <c r="R19" i="17"/>
  <c r="Q19" i="17"/>
  <c r="P19" i="17"/>
  <c r="O19" i="17"/>
  <c r="N19" i="17"/>
  <c r="M19" i="17"/>
  <c r="L19" i="17"/>
  <c r="K19" i="17"/>
  <c r="J19" i="17"/>
  <c r="I19" i="17"/>
  <c r="H19" i="17"/>
  <c r="F19" i="17"/>
  <c r="E19" i="17"/>
  <c r="S18" i="17"/>
  <c r="R18" i="17"/>
  <c r="Q18" i="17"/>
  <c r="P18" i="17"/>
  <c r="O18" i="17"/>
  <c r="N18" i="17"/>
  <c r="M18" i="17"/>
  <c r="L18" i="17"/>
  <c r="K18" i="17"/>
  <c r="J18" i="17"/>
  <c r="I18" i="17"/>
  <c r="H18" i="17"/>
  <c r="F18" i="17"/>
  <c r="E18" i="17"/>
  <c r="D16" i="17"/>
  <c r="S16" i="17" s="1"/>
  <c r="S15" i="17"/>
  <c r="R15" i="17"/>
  <c r="Q15" i="17"/>
  <c r="P15" i="17"/>
  <c r="O15" i="17"/>
  <c r="N15" i="17"/>
  <c r="M15" i="17"/>
  <c r="L15" i="17"/>
  <c r="K15" i="17"/>
  <c r="J15" i="17"/>
  <c r="I15" i="17"/>
  <c r="H15" i="17"/>
  <c r="F15" i="17"/>
  <c r="E15" i="17"/>
  <c r="S14" i="17"/>
  <c r="R14" i="17"/>
  <c r="Q14" i="17"/>
  <c r="P14" i="17"/>
  <c r="O14" i="17"/>
  <c r="N14" i="17"/>
  <c r="M14" i="17"/>
  <c r="L14" i="17"/>
  <c r="K14" i="17"/>
  <c r="J14" i="17"/>
  <c r="I14" i="17"/>
  <c r="H14" i="17"/>
  <c r="F14" i="17"/>
  <c r="E14" i="17"/>
  <c r="D12" i="17"/>
  <c r="N12" i="17" s="1"/>
  <c r="S11" i="17"/>
  <c r="R11" i="17"/>
  <c r="Q11" i="17"/>
  <c r="P11" i="17"/>
  <c r="O11" i="17"/>
  <c r="N11" i="17"/>
  <c r="M11" i="17"/>
  <c r="L11" i="17"/>
  <c r="K11" i="17"/>
  <c r="J11" i="17"/>
  <c r="J12" i="17" s="1"/>
  <c r="I11" i="17"/>
  <c r="H11" i="17"/>
  <c r="F11" i="17"/>
  <c r="E11" i="17"/>
  <c r="E12" i="17" s="1"/>
  <c r="S10" i="17"/>
  <c r="R10" i="17"/>
  <c r="Q10" i="17"/>
  <c r="P10" i="17"/>
  <c r="O10" i="17"/>
  <c r="N10" i="17"/>
  <c r="M10" i="17"/>
  <c r="L10" i="17"/>
  <c r="K10" i="17"/>
  <c r="J10" i="17"/>
  <c r="I10" i="17"/>
  <c r="H10" i="17"/>
  <c r="F10" i="17"/>
  <c r="E10" i="17"/>
  <c r="D52" i="16"/>
  <c r="S51" i="16"/>
  <c r="R51" i="16"/>
  <c r="Q51" i="16"/>
  <c r="P51" i="16"/>
  <c r="O51" i="16"/>
  <c r="N51" i="16"/>
  <c r="M51" i="16"/>
  <c r="L51" i="16"/>
  <c r="K51" i="16"/>
  <c r="J51" i="16"/>
  <c r="I51" i="16"/>
  <c r="H51" i="16"/>
  <c r="F51" i="16"/>
  <c r="E51" i="16"/>
  <c r="S50" i="16"/>
  <c r="R50" i="16"/>
  <c r="Q50" i="16"/>
  <c r="P50" i="16"/>
  <c r="O50" i="16"/>
  <c r="N50" i="16"/>
  <c r="M50" i="16"/>
  <c r="L50" i="16"/>
  <c r="K50" i="16"/>
  <c r="J50" i="16"/>
  <c r="I50" i="16"/>
  <c r="H50" i="16"/>
  <c r="F50" i="16"/>
  <c r="E50" i="16"/>
  <c r="D48" i="16"/>
  <c r="F48" i="16" s="1"/>
  <c r="S47" i="16"/>
  <c r="R47" i="16"/>
  <c r="Q47" i="16"/>
  <c r="P47" i="16"/>
  <c r="O47" i="16"/>
  <c r="N47" i="16"/>
  <c r="M47" i="16"/>
  <c r="L47" i="16"/>
  <c r="K47" i="16"/>
  <c r="J47" i="16"/>
  <c r="I47" i="16"/>
  <c r="H47" i="16"/>
  <c r="F47" i="16"/>
  <c r="E47" i="16"/>
  <c r="S46" i="16"/>
  <c r="R46" i="16"/>
  <c r="Q46" i="16"/>
  <c r="P46" i="16"/>
  <c r="O46" i="16"/>
  <c r="N46" i="16"/>
  <c r="M46" i="16"/>
  <c r="L46" i="16"/>
  <c r="K46" i="16"/>
  <c r="J46" i="16"/>
  <c r="I46" i="16"/>
  <c r="H46" i="16"/>
  <c r="F46" i="16"/>
  <c r="E46" i="16"/>
  <c r="D44" i="16"/>
  <c r="O44" i="16" s="1"/>
  <c r="S43" i="16"/>
  <c r="R43" i="16"/>
  <c r="Q43" i="16"/>
  <c r="P43" i="16"/>
  <c r="O43" i="16"/>
  <c r="N43" i="16"/>
  <c r="M43" i="16"/>
  <c r="L43" i="16"/>
  <c r="K43" i="16"/>
  <c r="J43" i="16"/>
  <c r="J44" i="16" s="1"/>
  <c r="I43" i="16"/>
  <c r="H43" i="16"/>
  <c r="F43" i="16"/>
  <c r="E43" i="16"/>
  <c r="E44" i="16" s="1"/>
  <c r="S42" i="16"/>
  <c r="R42" i="16"/>
  <c r="Q42" i="16"/>
  <c r="P42" i="16"/>
  <c r="O42" i="16"/>
  <c r="N42" i="16"/>
  <c r="M42" i="16"/>
  <c r="L42" i="16"/>
  <c r="K42" i="16"/>
  <c r="J42" i="16"/>
  <c r="I42" i="16"/>
  <c r="H42" i="16"/>
  <c r="F42" i="16"/>
  <c r="E42" i="16"/>
  <c r="S39" i="16"/>
  <c r="S40" i="16" s="1"/>
  <c r="R39" i="16"/>
  <c r="R40" i="16" s="1"/>
  <c r="Q39" i="16"/>
  <c r="Q40" i="16" s="1"/>
  <c r="P39" i="16"/>
  <c r="P40" i="16" s="1"/>
  <c r="O39" i="16"/>
  <c r="O40" i="16" s="1"/>
  <c r="N39" i="16"/>
  <c r="N40" i="16" s="1"/>
  <c r="M39" i="16"/>
  <c r="M40" i="16" s="1"/>
  <c r="L39" i="16"/>
  <c r="L40" i="16" s="1"/>
  <c r="K39" i="16"/>
  <c r="K40" i="16" s="1"/>
  <c r="J39" i="16"/>
  <c r="J40" i="16" s="1"/>
  <c r="I39" i="16"/>
  <c r="I40" i="16" s="1"/>
  <c r="H39" i="16"/>
  <c r="H40" i="16" s="1"/>
  <c r="F39" i="16"/>
  <c r="F40" i="16" s="1"/>
  <c r="E39" i="16"/>
  <c r="E40" i="16" s="1"/>
  <c r="S38" i="16"/>
  <c r="R38" i="16"/>
  <c r="Q38" i="16"/>
  <c r="P38" i="16"/>
  <c r="O38" i="16"/>
  <c r="N38" i="16"/>
  <c r="M38" i="16"/>
  <c r="L38" i="16"/>
  <c r="K38" i="16"/>
  <c r="J38" i="16"/>
  <c r="I38" i="16"/>
  <c r="H38" i="16"/>
  <c r="F38" i="16"/>
  <c r="E38" i="16"/>
  <c r="D35" i="16"/>
  <c r="S34" i="16"/>
  <c r="R34" i="16"/>
  <c r="Q34" i="16"/>
  <c r="P34" i="16"/>
  <c r="O34" i="16"/>
  <c r="N34" i="16"/>
  <c r="M34" i="16"/>
  <c r="L34" i="16"/>
  <c r="K34" i="16"/>
  <c r="J34" i="16"/>
  <c r="I34" i="16"/>
  <c r="H34" i="16"/>
  <c r="F34" i="16"/>
  <c r="E34" i="16"/>
  <c r="E35" i="16" s="1"/>
  <c r="S33" i="16"/>
  <c r="R33" i="16"/>
  <c r="Q33" i="16"/>
  <c r="P33" i="16"/>
  <c r="O33" i="16"/>
  <c r="N33" i="16"/>
  <c r="M33" i="16"/>
  <c r="L33" i="16"/>
  <c r="K33" i="16"/>
  <c r="J33" i="16"/>
  <c r="I33" i="16"/>
  <c r="H33" i="16"/>
  <c r="F33" i="16"/>
  <c r="E33" i="16"/>
  <c r="D31" i="16"/>
  <c r="S30" i="16"/>
  <c r="R30" i="16"/>
  <c r="Q30" i="16"/>
  <c r="P30" i="16"/>
  <c r="O30" i="16"/>
  <c r="N30" i="16"/>
  <c r="N31" i="16" s="1"/>
  <c r="M30" i="16"/>
  <c r="L30" i="16"/>
  <c r="K30" i="16"/>
  <c r="J30" i="16"/>
  <c r="J31" i="16" s="1"/>
  <c r="I30" i="16"/>
  <c r="H30" i="16"/>
  <c r="F30" i="16"/>
  <c r="E30" i="16"/>
  <c r="E31" i="16" s="1"/>
  <c r="S29" i="16"/>
  <c r="R29" i="16"/>
  <c r="Q29" i="16"/>
  <c r="P29" i="16"/>
  <c r="O29" i="16"/>
  <c r="N29" i="16"/>
  <c r="M29" i="16"/>
  <c r="L29" i="16"/>
  <c r="K29" i="16"/>
  <c r="J29" i="16"/>
  <c r="I29" i="16"/>
  <c r="H29" i="16"/>
  <c r="F29" i="16"/>
  <c r="E29" i="16"/>
  <c r="D27" i="16"/>
  <c r="S26" i="16"/>
  <c r="R26" i="16"/>
  <c r="Q26" i="16"/>
  <c r="P26" i="16"/>
  <c r="O26" i="16"/>
  <c r="N26" i="16"/>
  <c r="M26" i="16"/>
  <c r="L26" i="16"/>
  <c r="K26" i="16"/>
  <c r="J26" i="16"/>
  <c r="I26" i="16"/>
  <c r="H26" i="16"/>
  <c r="F26" i="16"/>
  <c r="E26" i="16"/>
  <c r="S25" i="16"/>
  <c r="R25" i="16"/>
  <c r="Q25" i="16"/>
  <c r="P25" i="16"/>
  <c r="O25" i="16"/>
  <c r="N25" i="16"/>
  <c r="M25" i="16"/>
  <c r="L25" i="16"/>
  <c r="K25" i="16"/>
  <c r="J25" i="16"/>
  <c r="I25" i="16"/>
  <c r="H25" i="16"/>
  <c r="F25" i="16"/>
  <c r="E25" i="16"/>
  <c r="D23" i="16"/>
  <c r="P23" i="16" s="1"/>
  <c r="S22" i="16"/>
  <c r="R22" i="16"/>
  <c r="Q22" i="16"/>
  <c r="Q23" i="16" s="1"/>
  <c r="P22" i="16"/>
  <c r="O22" i="16"/>
  <c r="N22" i="16"/>
  <c r="M22" i="16"/>
  <c r="L22" i="16"/>
  <c r="K22" i="16"/>
  <c r="J22" i="16"/>
  <c r="I22" i="16"/>
  <c r="I23" i="16" s="1"/>
  <c r="H22" i="16"/>
  <c r="F22" i="16"/>
  <c r="E22" i="16"/>
  <c r="S21" i="16"/>
  <c r="R21" i="16"/>
  <c r="Q21" i="16"/>
  <c r="P21" i="16"/>
  <c r="O21" i="16"/>
  <c r="N21" i="16"/>
  <c r="M21" i="16"/>
  <c r="L21" i="16"/>
  <c r="K21" i="16"/>
  <c r="J21" i="16"/>
  <c r="I21" i="16"/>
  <c r="H21" i="16"/>
  <c r="F21" i="16"/>
  <c r="E21" i="16"/>
  <c r="D19" i="16"/>
  <c r="P19" i="16" s="1"/>
  <c r="S18" i="16"/>
  <c r="S19" i="16" s="1"/>
  <c r="R18" i="16"/>
  <c r="Q18" i="16"/>
  <c r="P18" i="16"/>
  <c r="O18" i="16"/>
  <c r="O19" i="16" s="1"/>
  <c r="N18" i="16"/>
  <c r="M18" i="16"/>
  <c r="L18" i="16"/>
  <c r="K18" i="16"/>
  <c r="K19" i="16" s="1"/>
  <c r="J18" i="16"/>
  <c r="I18" i="16"/>
  <c r="H18" i="16"/>
  <c r="F18" i="16"/>
  <c r="F19" i="16" s="1"/>
  <c r="E18" i="16"/>
  <c r="S17" i="16"/>
  <c r="R17" i="16"/>
  <c r="Q17" i="16"/>
  <c r="P17" i="16"/>
  <c r="O17" i="16"/>
  <c r="N17" i="16"/>
  <c r="M17" i="16"/>
  <c r="L17" i="16"/>
  <c r="K17" i="16"/>
  <c r="J17" i="16"/>
  <c r="I17" i="16"/>
  <c r="H17" i="16"/>
  <c r="F17" i="16"/>
  <c r="E17" i="16"/>
  <c r="D15" i="16"/>
  <c r="S14" i="16"/>
  <c r="R14" i="16"/>
  <c r="Q14" i="16"/>
  <c r="P14" i="16"/>
  <c r="P15" i="16" s="1"/>
  <c r="O14" i="16"/>
  <c r="N14" i="16"/>
  <c r="M14" i="16"/>
  <c r="L14" i="16"/>
  <c r="K14" i="16"/>
  <c r="K15" i="16" s="1"/>
  <c r="J14" i="16"/>
  <c r="I14" i="16"/>
  <c r="H14" i="16"/>
  <c r="F14" i="16"/>
  <c r="F15" i="16" s="1"/>
  <c r="E14" i="16"/>
  <c r="S13" i="16"/>
  <c r="R13" i="16"/>
  <c r="Q13" i="16"/>
  <c r="P13" i="16"/>
  <c r="O13" i="16"/>
  <c r="N13" i="16"/>
  <c r="M13" i="16"/>
  <c r="L13" i="16"/>
  <c r="K13" i="16"/>
  <c r="J13" i="16"/>
  <c r="I13" i="16"/>
  <c r="H13" i="16"/>
  <c r="F13" i="16"/>
  <c r="E13" i="16"/>
  <c r="P11" i="16"/>
  <c r="D11" i="16"/>
  <c r="S10" i="16"/>
  <c r="S11" i="16" s="1"/>
  <c r="R10" i="16"/>
  <c r="Q10" i="16"/>
  <c r="P10" i="16"/>
  <c r="O10" i="16"/>
  <c r="O11" i="16" s="1"/>
  <c r="N10" i="16"/>
  <c r="M10" i="16"/>
  <c r="L10" i="16"/>
  <c r="K10" i="16"/>
  <c r="K11" i="16" s="1"/>
  <c r="J10" i="16"/>
  <c r="I10" i="16"/>
  <c r="H10" i="16"/>
  <c r="H11" i="16" s="1"/>
  <c r="F10" i="16"/>
  <c r="F11" i="16" s="1"/>
  <c r="E10" i="16"/>
  <c r="S9" i="16"/>
  <c r="R9" i="16"/>
  <c r="Q9" i="16"/>
  <c r="P9" i="16"/>
  <c r="O9" i="16"/>
  <c r="N9" i="16"/>
  <c r="M9" i="16"/>
  <c r="L9" i="16"/>
  <c r="K9" i="16"/>
  <c r="J9" i="16"/>
  <c r="I9" i="16"/>
  <c r="H9" i="16"/>
  <c r="F9" i="16"/>
  <c r="E9" i="16"/>
  <c r="S15" i="16" l="1"/>
  <c r="L15" i="16"/>
  <c r="R44" i="16"/>
  <c r="O15" i="16"/>
  <c r="N44" i="16"/>
  <c r="S20" i="17"/>
  <c r="E16" i="17"/>
  <c r="J16" i="17"/>
  <c r="D51" i="17"/>
  <c r="Q32" i="17"/>
  <c r="H15" i="16"/>
  <c r="H19" i="16"/>
  <c r="H23" i="16"/>
  <c r="O52" i="16"/>
  <c r="L19" i="16"/>
  <c r="L23" i="16"/>
  <c r="K44" i="16"/>
  <c r="S27" i="16"/>
  <c r="J35" i="16"/>
  <c r="N35" i="16"/>
  <c r="F44" i="16"/>
  <c r="P48" i="16"/>
  <c r="S48" i="16"/>
  <c r="R20" i="17"/>
  <c r="F32" i="17"/>
  <c r="K32" i="17"/>
  <c r="O32" i="17"/>
  <c r="S32" i="17"/>
  <c r="P32" i="17"/>
  <c r="P52" i="16"/>
  <c r="S52" i="16"/>
  <c r="E49" i="17"/>
  <c r="F49" i="17" s="1"/>
  <c r="D24" i="17" s="1"/>
  <c r="Q11" i="16"/>
  <c r="L11" i="16"/>
  <c r="Q15" i="16"/>
  <c r="Q19" i="16"/>
  <c r="R23" i="16"/>
  <c r="M23" i="16"/>
  <c r="S31" i="16"/>
  <c r="S35" i="16"/>
  <c r="R35" i="16"/>
  <c r="E48" i="16"/>
  <c r="J48" i="16"/>
  <c r="N48" i="16"/>
  <c r="N58" i="16" s="1"/>
  <c r="R48" i="16"/>
  <c r="R58" i="16" s="1"/>
  <c r="K48" i="16"/>
  <c r="F52" i="16"/>
  <c r="S12" i="17"/>
  <c r="R12" i="17"/>
  <c r="N16" i="17"/>
  <c r="J20" i="17"/>
  <c r="H32" i="17"/>
  <c r="P58" i="16"/>
  <c r="P44" i="16"/>
  <c r="S44" i="16"/>
  <c r="S58" i="16" s="1"/>
  <c r="O48" i="16"/>
  <c r="O58" i="16" s="1"/>
  <c r="E52" i="16"/>
  <c r="J52" i="16"/>
  <c r="N52" i="16"/>
  <c r="R52" i="16"/>
  <c r="K52" i="16"/>
  <c r="R16" i="17"/>
  <c r="N20" i="17"/>
  <c r="L32" i="17"/>
  <c r="E47" i="17"/>
  <c r="O12" i="17"/>
  <c r="H12" i="17"/>
  <c r="L12" i="17"/>
  <c r="P12" i="17"/>
  <c r="H16" i="17"/>
  <c r="L16" i="17"/>
  <c r="P16" i="17"/>
  <c r="H20" i="17"/>
  <c r="L20" i="17"/>
  <c r="P20" i="17"/>
  <c r="E32" i="17"/>
  <c r="J32" i="17"/>
  <c r="N32" i="17"/>
  <c r="R32" i="17"/>
  <c r="I12" i="17"/>
  <c r="M12" i="17"/>
  <c r="Q12" i="17"/>
  <c r="I16" i="17"/>
  <c r="M16" i="17"/>
  <c r="Q16" i="17"/>
  <c r="I20" i="17"/>
  <c r="M20" i="17"/>
  <c r="Q20" i="17"/>
  <c r="F47" i="17"/>
  <c r="F12" i="17"/>
  <c r="K12" i="17"/>
  <c r="F16" i="17"/>
  <c r="K16" i="17"/>
  <c r="O16" i="17"/>
  <c r="F20" i="17"/>
  <c r="K20" i="17"/>
  <c r="O20" i="17"/>
  <c r="I32" i="17"/>
  <c r="M32" i="17"/>
  <c r="J58" i="16"/>
  <c r="E11" i="16"/>
  <c r="J11" i="16"/>
  <c r="N11" i="16"/>
  <c r="R11" i="16"/>
  <c r="E15" i="16"/>
  <c r="J15" i="16"/>
  <c r="N15" i="16"/>
  <c r="R15" i="16"/>
  <c r="E19" i="16"/>
  <c r="J19" i="16"/>
  <c r="N19" i="16"/>
  <c r="R19" i="16"/>
  <c r="F23" i="16"/>
  <c r="K23" i="16"/>
  <c r="O23" i="16"/>
  <c r="S23" i="16"/>
  <c r="H27" i="16"/>
  <c r="L27" i="16"/>
  <c r="P27" i="16"/>
  <c r="P54" i="16" s="1"/>
  <c r="P55" i="16" s="1"/>
  <c r="H31" i="16"/>
  <c r="L31" i="16"/>
  <c r="P31" i="16"/>
  <c r="H35" i="16"/>
  <c r="L35" i="16"/>
  <c r="P35" i="16"/>
  <c r="I44" i="16"/>
  <c r="I58" i="16" s="1"/>
  <c r="M44" i="16"/>
  <c r="Q44" i="16"/>
  <c r="I48" i="16"/>
  <c r="M48" i="16"/>
  <c r="Q48" i="16"/>
  <c r="I52" i="16"/>
  <c r="M52" i="16"/>
  <c r="Q52" i="16"/>
  <c r="I27" i="16"/>
  <c r="M27" i="16"/>
  <c r="Q27" i="16"/>
  <c r="I31" i="16"/>
  <c r="M31" i="16"/>
  <c r="Q31" i="16"/>
  <c r="I35" i="16"/>
  <c r="M35" i="16"/>
  <c r="Q35" i="16"/>
  <c r="J27" i="16"/>
  <c r="N27" i="16"/>
  <c r="R27" i="16"/>
  <c r="R31" i="16"/>
  <c r="I11" i="16"/>
  <c r="M11" i="16"/>
  <c r="I15" i="16"/>
  <c r="M15" i="16"/>
  <c r="I19" i="16"/>
  <c r="M19" i="16"/>
  <c r="J23" i="16"/>
  <c r="N23" i="16"/>
  <c r="F27" i="16"/>
  <c r="K27" i="16"/>
  <c r="O27" i="16"/>
  <c r="F31" i="16"/>
  <c r="K31" i="16"/>
  <c r="O31" i="16"/>
  <c r="F35" i="16"/>
  <c r="K35" i="16"/>
  <c r="O35" i="16"/>
  <c r="T40" i="16"/>
  <c r="H44" i="16"/>
  <c r="L44" i="16"/>
  <c r="H48" i="16"/>
  <c r="L48" i="16"/>
  <c r="H52" i="16"/>
  <c r="L52" i="16"/>
  <c r="T20" i="17" l="1"/>
  <c r="O54" i="16"/>
  <c r="O55" i="16" s="1"/>
  <c r="F58" i="16"/>
  <c r="E38" i="17"/>
  <c r="P57" i="16"/>
  <c r="Q57" i="16"/>
  <c r="H57" i="16"/>
  <c r="L58" i="16"/>
  <c r="S54" i="16"/>
  <c r="S55" i="16" s="1"/>
  <c r="K58" i="16"/>
  <c r="E58" i="16"/>
  <c r="Q58" i="16"/>
  <c r="T48" i="16"/>
  <c r="L57" i="16"/>
  <c r="K54" i="16"/>
  <c r="K55" i="16" s="1"/>
  <c r="F54" i="16"/>
  <c r="F55" i="16" s="1"/>
  <c r="T31" i="16"/>
  <c r="H58" i="16"/>
  <c r="T35" i="16"/>
  <c r="T52" i="16"/>
  <c r="M58" i="16"/>
  <c r="O57" i="16"/>
  <c r="T16" i="17"/>
  <c r="E41" i="17"/>
  <c r="E39" i="17"/>
  <c r="P24" i="17"/>
  <c r="L24" i="17"/>
  <c r="H24" i="17"/>
  <c r="S24" i="17"/>
  <c r="O24" i="17"/>
  <c r="K24" i="17"/>
  <c r="F24" i="17"/>
  <c r="R24" i="17"/>
  <c r="N24" i="17"/>
  <c r="J24" i="17"/>
  <c r="Q24" i="17"/>
  <c r="M24" i="17"/>
  <c r="I24" i="17"/>
  <c r="T32" i="17"/>
  <c r="F51" i="17"/>
  <c r="D28" i="17"/>
  <c r="T12" i="17"/>
  <c r="J57" i="16"/>
  <c r="J54" i="16"/>
  <c r="J55" i="16" s="1"/>
  <c r="F57" i="16"/>
  <c r="M57" i="16"/>
  <c r="M54" i="16"/>
  <c r="M55" i="16" s="1"/>
  <c r="H54" i="16"/>
  <c r="H55" i="16" s="1"/>
  <c r="R57" i="16"/>
  <c r="R54" i="16"/>
  <c r="R55" i="16" s="1"/>
  <c r="S57" i="16"/>
  <c r="Q54" i="16"/>
  <c r="Q55" i="16" s="1"/>
  <c r="T27" i="16"/>
  <c r="I57" i="16"/>
  <c r="I54" i="16"/>
  <c r="I55" i="16" s="1"/>
  <c r="N57" i="16"/>
  <c r="N54" i="16"/>
  <c r="N55" i="16" s="1"/>
  <c r="K57" i="16"/>
  <c r="T44" i="16"/>
  <c r="T58" i="16" s="1"/>
  <c r="L54" i="16"/>
  <c r="L55" i="16" s="1"/>
  <c r="T23" i="16"/>
  <c r="T19" i="16"/>
  <c r="T15" i="16"/>
  <c r="T11" i="16"/>
  <c r="E57" i="16"/>
  <c r="E54" i="16"/>
  <c r="Q28" i="17" l="1"/>
  <c r="Q38" i="17" s="1"/>
  <c r="M28" i="17"/>
  <c r="M38" i="17" s="1"/>
  <c r="I28" i="17"/>
  <c r="I38" i="17" s="1"/>
  <c r="P28" i="17"/>
  <c r="P38" i="17" s="1"/>
  <c r="L28" i="17"/>
  <c r="L38" i="17" s="1"/>
  <c r="H28" i="17"/>
  <c r="H38" i="17" s="1"/>
  <c r="S28" i="17"/>
  <c r="S38" i="17" s="1"/>
  <c r="O28" i="17"/>
  <c r="O38" i="17" s="1"/>
  <c r="K28" i="17"/>
  <c r="K38" i="17" s="1"/>
  <c r="F28" i="17"/>
  <c r="F38" i="17" s="1"/>
  <c r="R28" i="17"/>
  <c r="R38" i="17" s="1"/>
  <c r="N28" i="17"/>
  <c r="N38" i="17" s="1"/>
  <c r="J28" i="17"/>
  <c r="J38" i="17" s="1"/>
  <c r="T24" i="17"/>
  <c r="T57" i="16"/>
  <c r="T59" i="16" s="1"/>
  <c r="T54" i="16"/>
  <c r="U54" i="16"/>
  <c r="U55" i="16" s="1"/>
  <c r="E55" i="16"/>
  <c r="P41" i="17" l="1"/>
  <c r="P39" i="17"/>
  <c r="R41" i="17"/>
  <c r="R39" i="17"/>
  <c r="K41" i="17"/>
  <c r="K39" i="17"/>
  <c r="N41" i="17"/>
  <c r="N39" i="17"/>
  <c r="O41" i="17"/>
  <c r="O39" i="17"/>
  <c r="S41" i="17"/>
  <c r="S39" i="17"/>
  <c r="H41" i="17"/>
  <c r="H39" i="17"/>
  <c r="J41" i="17"/>
  <c r="J39" i="17"/>
  <c r="I41" i="17"/>
  <c r="I39" i="17"/>
  <c r="F41" i="17"/>
  <c r="F39" i="17"/>
  <c r="U38" i="17"/>
  <c r="U39" i="17" s="1"/>
  <c r="T28" i="17"/>
  <c r="T38" i="17" s="1"/>
  <c r="T39" i="17" s="1"/>
  <c r="M41" i="17"/>
  <c r="M39" i="17"/>
  <c r="L41" i="17"/>
  <c r="L39" i="17"/>
  <c r="Q41" i="17"/>
  <c r="Q39" i="17"/>
  <c r="U59" i="16"/>
  <c r="T55" i="16"/>
  <c r="H234" i="21" l="1"/>
  <c r="H234" i="20"/>
  <c r="K234" i="21"/>
  <c r="K230" i="21" s="1"/>
  <c r="K234" i="20"/>
  <c r="K230" i="20" s="1"/>
  <c r="I234" i="21"/>
  <c r="I234" i="20"/>
  <c r="O234" i="21"/>
  <c r="O230" i="21" s="1"/>
  <c r="O234" i="20"/>
  <c r="O230" i="20" s="1"/>
  <c r="P234" i="21"/>
  <c r="P230" i="21" s="1"/>
  <c r="P234" i="20"/>
  <c r="P230" i="20" s="1"/>
  <c r="L234" i="21"/>
  <c r="L230" i="21" s="1"/>
  <c r="L234" i="20"/>
  <c r="L230" i="20" s="1"/>
  <c r="Q234" i="21"/>
  <c r="Q230" i="21" s="1"/>
  <c r="Q234" i="20"/>
  <c r="Q230" i="20" s="1"/>
  <c r="J234" i="21"/>
  <c r="J234" i="20"/>
  <c r="G234" i="21"/>
  <c r="G234" i="20"/>
  <c r="N234" i="21"/>
  <c r="N230" i="21" s="1"/>
  <c r="N234" i="20"/>
  <c r="N230" i="20" s="1"/>
  <c r="F234" i="21"/>
  <c r="F234" i="20"/>
  <c r="M234" i="21"/>
  <c r="M230" i="21" s="1"/>
  <c r="M234" i="20"/>
  <c r="M230" i="20" s="1"/>
  <c r="M234" i="5"/>
  <c r="M6" i="18"/>
  <c r="G234" i="5"/>
  <c r="G6" i="18"/>
  <c r="I234" i="5"/>
  <c r="I6" i="18"/>
  <c r="J234" i="5"/>
  <c r="J6" i="18"/>
  <c r="F234" i="5"/>
  <c r="F6" i="18"/>
  <c r="F7" i="18" s="1"/>
  <c r="F9" i="18" s="1"/>
  <c r="F16" i="18" s="1"/>
  <c r="N6" i="18"/>
  <c r="N234" i="5"/>
  <c r="O234" i="5"/>
  <c r="O6" i="18"/>
  <c r="K234" i="5"/>
  <c r="K6" i="18"/>
  <c r="H6" i="18"/>
  <c r="H234" i="5"/>
  <c r="Q234" i="5"/>
  <c r="Q6" i="18"/>
  <c r="L6" i="18"/>
  <c r="L234" i="5"/>
  <c r="P6" i="18"/>
  <c r="P234" i="5"/>
  <c r="F19" i="14"/>
  <c r="B22" i="14"/>
  <c r="B14" i="14"/>
  <c r="D234" i="20" l="1"/>
  <c r="F235" i="22" s="1"/>
  <c r="D234" i="21"/>
  <c r="H235" i="22" s="1"/>
  <c r="G235" i="22" s="1"/>
  <c r="F221" i="21"/>
  <c r="F221" i="20"/>
  <c r="F221" i="5"/>
  <c r="D6" i="18"/>
  <c r="F10" i="18"/>
  <c r="G7" i="18" l="1"/>
  <c r="G9" i="18" s="1"/>
  <c r="G16" i="18" s="1"/>
  <c r="F17" i="18"/>
  <c r="G10" i="18"/>
  <c r="H7" i="18" l="1"/>
  <c r="G17" i="18"/>
  <c r="G221" i="20"/>
  <c r="G221" i="21"/>
  <c r="G221" i="5"/>
  <c r="H9" i="18"/>
  <c r="H16" i="18" s="1"/>
  <c r="D23" i="14"/>
  <c r="F22" i="14"/>
  <c r="D15" i="14"/>
  <c r="C6" i="14"/>
  <c r="B6" i="14"/>
  <c r="E28" i="13"/>
  <c r="E23" i="13"/>
  <c r="E18" i="13"/>
  <c r="E20" i="13" s="1"/>
  <c r="E13" i="13"/>
  <c r="E15" i="13" s="1"/>
  <c r="D38" i="13"/>
  <c r="F34" i="13"/>
  <c r="G34" i="13" s="1"/>
  <c r="H34" i="13" s="1"/>
  <c r="I34" i="13" s="1"/>
  <c r="J34" i="13" s="1"/>
  <c r="K34" i="13" s="1"/>
  <c r="L34" i="13" s="1"/>
  <c r="M34" i="13" s="1"/>
  <c r="N34" i="13" s="1"/>
  <c r="O34" i="13" s="1"/>
  <c r="P34" i="13" s="1"/>
  <c r="Q34" i="13" s="1"/>
  <c r="R34" i="13" s="1"/>
  <c r="E33" i="13"/>
  <c r="C32" i="13"/>
  <c r="E29" i="13"/>
  <c r="F29" i="13" s="1"/>
  <c r="G29" i="13" s="1"/>
  <c r="H29" i="13" s="1"/>
  <c r="I29" i="13" s="1"/>
  <c r="J29" i="13" s="1"/>
  <c r="K29" i="13" s="1"/>
  <c r="L29" i="13" s="1"/>
  <c r="M29" i="13" s="1"/>
  <c r="N29" i="13" s="1"/>
  <c r="O29" i="13" s="1"/>
  <c r="P29" i="13" s="1"/>
  <c r="Q29" i="13" s="1"/>
  <c r="R29" i="13" s="1"/>
  <c r="C27" i="13"/>
  <c r="F24" i="13"/>
  <c r="G24" i="13" s="1"/>
  <c r="H24" i="13" s="1"/>
  <c r="I24" i="13" s="1"/>
  <c r="J24" i="13" s="1"/>
  <c r="K24" i="13" s="1"/>
  <c r="L24" i="13" s="1"/>
  <c r="M24" i="13" s="1"/>
  <c r="N24" i="13" s="1"/>
  <c r="O24" i="13" s="1"/>
  <c r="P24" i="13" s="1"/>
  <c r="Q24" i="13" s="1"/>
  <c r="R24" i="13" s="1"/>
  <c r="C22" i="13"/>
  <c r="F19" i="13"/>
  <c r="G19" i="13" s="1"/>
  <c r="H19" i="13" s="1"/>
  <c r="I19" i="13" s="1"/>
  <c r="J19" i="13" s="1"/>
  <c r="K19" i="13" s="1"/>
  <c r="L19" i="13" s="1"/>
  <c r="M19" i="13" s="1"/>
  <c r="N19" i="13" s="1"/>
  <c r="O19" i="13" s="1"/>
  <c r="P19" i="13" s="1"/>
  <c r="Q19" i="13" s="1"/>
  <c r="R19" i="13" s="1"/>
  <c r="C17" i="13"/>
  <c r="C12" i="13"/>
  <c r="E8" i="13"/>
  <c r="C7" i="13"/>
  <c r="E8" i="12"/>
  <c r="H8" i="12" s="1"/>
  <c r="D8" i="12"/>
  <c r="F205" i="5"/>
  <c r="G205" i="5" s="1"/>
  <c r="H205" i="5" s="1"/>
  <c r="I205" i="5" s="1"/>
  <c r="J205" i="5" s="1"/>
  <c r="K205" i="5" s="1"/>
  <c r="L205" i="5" s="1"/>
  <c r="M205" i="5" s="1"/>
  <c r="N205" i="5" s="1"/>
  <c r="O205" i="5" s="1"/>
  <c r="P205" i="5" s="1"/>
  <c r="Q205" i="5" s="1"/>
  <c r="R205" i="5" s="1"/>
  <c r="S205" i="5" s="1"/>
  <c r="F204" i="5"/>
  <c r="G204" i="5" s="1"/>
  <c r="H204" i="5" s="1"/>
  <c r="I204" i="5" s="1"/>
  <c r="J204" i="5" s="1"/>
  <c r="K204" i="5" s="1"/>
  <c r="L204" i="5" s="1"/>
  <c r="M204" i="5" s="1"/>
  <c r="N204" i="5" s="1"/>
  <c r="O204" i="5" s="1"/>
  <c r="P204" i="5" s="1"/>
  <c r="Q204" i="5" s="1"/>
  <c r="R204" i="5" s="1"/>
  <c r="S204" i="5" s="1"/>
  <c r="F134" i="5"/>
  <c r="G134" i="5" s="1"/>
  <c r="H134" i="5" s="1"/>
  <c r="I134" i="5" s="1"/>
  <c r="J134" i="5" s="1"/>
  <c r="D135" i="5"/>
  <c r="D136" i="22" s="1"/>
  <c r="E136" i="22" s="1"/>
  <c r="F213" i="5"/>
  <c r="F214" i="5"/>
  <c r="G214" i="5" s="1"/>
  <c r="G233" i="5" l="1"/>
  <c r="J233" i="5"/>
  <c r="H233" i="5"/>
  <c r="I233" i="5"/>
  <c r="F233" i="5"/>
  <c r="H221" i="21"/>
  <c r="H221" i="20"/>
  <c r="H221" i="5"/>
  <c r="G8" i="12"/>
  <c r="I8" i="12" s="1"/>
  <c r="F8" i="12"/>
  <c r="G17" i="14"/>
  <c r="F17" i="14"/>
  <c r="G9" i="14"/>
  <c r="G85" i="1"/>
  <c r="F9" i="14"/>
  <c r="H10" i="18"/>
  <c r="R16" i="14"/>
  <c r="R19" i="14" s="1"/>
  <c r="G16" i="14"/>
  <c r="G19" i="14" s="1"/>
  <c r="G22" i="14"/>
  <c r="F24" i="14"/>
  <c r="F27" i="14" s="1"/>
  <c r="E10" i="13"/>
  <c r="E11" i="13" s="1"/>
  <c r="F8" i="13" s="1"/>
  <c r="E44" i="13"/>
  <c r="E16" i="13"/>
  <c r="F13" i="13" s="1"/>
  <c r="D40" i="13"/>
  <c r="E21" i="13"/>
  <c r="F18" i="13" s="1"/>
  <c r="E30" i="13"/>
  <c r="E31" i="13" s="1"/>
  <c r="F28" i="13" s="1"/>
  <c r="E25" i="13"/>
  <c r="E26" i="13" s="1"/>
  <c r="F23" i="13" s="1"/>
  <c r="E35" i="13"/>
  <c r="E36" i="13" s="1"/>
  <c r="F33" i="13" s="1"/>
  <c r="D205" i="5"/>
  <c r="D206" i="22" s="1"/>
  <c r="D204" i="5"/>
  <c r="D205" i="22" s="1"/>
  <c r="K134" i="5"/>
  <c r="L134" i="5" s="1"/>
  <c r="M134" i="5" s="1"/>
  <c r="N134" i="5" s="1"/>
  <c r="O134" i="5" s="1"/>
  <c r="P134" i="5" s="1"/>
  <c r="Q134" i="5" s="1"/>
  <c r="R134" i="5" s="1"/>
  <c r="S134" i="5" s="1"/>
  <c r="G213" i="5"/>
  <c r="H214" i="5"/>
  <c r="J233" i="20" l="1"/>
  <c r="J230" i="20" s="1"/>
  <c r="G233" i="20"/>
  <c r="I233" i="20"/>
  <c r="I230" i="20" s="1"/>
  <c r="F233" i="20"/>
  <c r="H233" i="20"/>
  <c r="H22" i="14"/>
  <c r="H24" i="14" s="1"/>
  <c r="G24" i="14"/>
  <c r="E236" i="21"/>
  <c r="F103" i="1"/>
  <c r="E236" i="20"/>
  <c r="E236" i="5"/>
  <c r="E230" i="5" s="1"/>
  <c r="I7" i="18"/>
  <c r="I9" i="18" s="1"/>
  <c r="I16" i="18" s="1"/>
  <c r="H17" i="18"/>
  <c r="F10" i="14"/>
  <c r="D9" i="14"/>
  <c r="G230" i="20"/>
  <c r="H85" i="1"/>
  <c r="F18" i="14"/>
  <c r="D17" i="14"/>
  <c r="I22" i="14"/>
  <c r="D134" i="5"/>
  <c r="D135" i="22" s="1"/>
  <c r="I10" i="18"/>
  <c r="K16" i="14"/>
  <c r="K19" i="14" s="1"/>
  <c r="M16" i="14"/>
  <c r="M19" i="14" s="1"/>
  <c r="P16" i="14"/>
  <c r="P19" i="14" s="1"/>
  <c r="I16" i="14"/>
  <c r="I19" i="14" s="1"/>
  <c r="L16" i="14"/>
  <c r="L19" i="14" s="1"/>
  <c r="H16" i="14"/>
  <c r="H19" i="14" s="1"/>
  <c r="N16" i="14"/>
  <c r="N19" i="14" s="1"/>
  <c r="O16" i="14"/>
  <c r="O19" i="14" s="1"/>
  <c r="Q16" i="14"/>
  <c r="Q19" i="14" s="1"/>
  <c r="J16" i="14"/>
  <c r="J19" i="14" s="1"/>
  <c r="G27" i="14"/>
  <c r="H27" i="14"/>
  <c r="F25" i="13"/>
  <c r="F35" i="13"/>
  <c r="F36" i="13" s="1"/>
  <c r="G33" i="13" s="1"/>
  <c r="F20" i="13"/>
  <c r="F30" i="13"/>
  <c r="F31" i="13" s="1"/>
  <c r="G28" i="13" s="1"/>
  <c r="F44" i="13"/>
  <c r="F15" i="13"/>
  <c r="F16" i="13"/>
  <c r="G13" i="13" s="1"/>
  <c r="F10" i="13"/>
  <c r="E45" i="13"/>
  <c r="E46" i="13" s="1"/>
  <c r="E47" i="13" s="1"/>
  <c r="E48" i="13" s="1"/>
  <c r="E49" i="13" s="1"/>
  <c r="E50" i="13" s="1"/>
  <c r="E51" i="13" s="1"/>
  <c r="E52" i="13" s="1"/>
  <c r="E53" i="13" s="1"/>
  <c r="E54" i="13" s="1"/>
  <c r="E55" i="13" s="1"/>
  <c r="E56" i="13" s="1"/>
  <c r="E40" i="13"/>
  <c r="E38" i="13"/>
  <c r="I214" i="5"/>
  <c r="H213" i="5"/>
  <c r="G233" i="21" l="1"/>
  <c r="H233" i="21"/>
  <c r="I233" i="21"/>
  <c r="I230" i="21" s="1"/>
  <c r="J233" i="21"/>
  <c r="J230" i="21" s="1"/>
  <c r="F233" i="21"/>
  <c r="F20" i="14"/>
  <c r="F220" i="20" s="1"/>
  <c r="I221" i="21"/>
  <c r="I221" i="20"/>
  <c r="I221" i="5"/>
  <c r="J7" i="18"/>
  <c r="J9" i="18" s="1"/>
  <c r="J16" i="18" s="1"/>
  <c r="I17" i="18"/>
  <c r="H230" i="21"/>
  <c r="G25" i="14"/>
  <c r="F25" i="14"/>
  <c r="H230" i="20"/>
  <c r="G230" i="21"/>
  <c r="D236" i="20"/>
  <c r="F237" i="22" s="1"/>
  <c r="E230" i="20"/>
  <c r="D233" i="20"/>
  <c r="F234" i="22" s="1"/>
  <c r="F230" i="20"/>
  <c r="D236" i="21"/>
  <c r="H237" i="22" s="1"/>
  <c r="E230" i="21"/>
  <c r="F219" i="5"/>
  <c r="F219" i="21"/>
  <c r="F219" i="20"/>
  <c r="J22" i="14"/>
  <c r="I24" i="14"/>
  <c r="I27" i="14" s="1"/>
  <c r="J10" i="18"/>
  <c r="G44" i="13"/>
  <c r="G15" i="13"/>
  <c r="G16" i="13" s="1"/>
  <c r="H13" i="13" s="1"/>
  <c r="G35" i="13"/>
  <c r="E57" i="13"/>
  <c r="E59" i="13" s="1"/>
  <c r="F45" i="13"/>
  <c r="F46" i="13" s="1"/>
  <c r="F47" i="13" s="1"/>
  <c r="F48" i="13" s="1"/>
  <c r="F49" i="13" s="1"/>
  <c r="F50" i="13" s="1"/>
  <c r="F51" i="13" s="1"/>
  <c r="F52" i="13" s="1"/>
  <c r="F53" i="13" s="1"/>
  <c r="F54" i="13" s="1"/>
  <c r="F55" i="13" s="1"/>
  <c r="F56" i="13" s="1"/>
  <c r="F21" i="13"/>
  <c r="G18" i="13" s="1"/>
  <c r="F26" i="13"/>
  <c r="G23" i="13" s="1"/>
  <c r="F11" i="13"/>
  <c r="F38" i="13"/>
  <c r="G30" i="13"/>
  <c r="I213" i="5"/>
  <c r="J214" i="5"/>
  <c r="D230" i="20" l="1"/>
  <c r="K22" i="14"/>
  <c r="J24" i="14"/>
  <c r="J27" i="14" s="1"/>
  <c r="J221" i="21"/>
  <c r="J221" i="20"/>
  <c r="J221" i="5"/>
  <c r="D233" i="21"/>
  <c r="H234" i="22" s="1"/>
  <c r="G234" i="22" s="1"/>
  <c r="F230" i="21"/>
  <c r="D230" i="21" s="1"/>
  <c r="G219" i="5"/>
  <c r="G219" i="21"/>
  <c r="G219" i="20"/>
  <c r="K7" i="18"/>
  <c r="K9" i="18" s="1"/>
  <c r="K16" i="18" s="1"/>
  <c r="J17" i="18"/>
  <c r="F209" i="20"/>
  <c r="F209" i="5"/>
  <c r="F209" i="21"/>
  <c r="G237" i="22"/>
  <c r="F26" i="14"/>
  <c r="D25" i="14"/>
  <c r="D231" i="20"/>
  <c r="F232" i="22" s="1"/>
  <c r="F231" i="22"/>
  <c r="F218" i="20"/>
  <c r="F21" i="14"/>
  <c r="G18" i="14" s="1"/>
  <c r="G20" i="14" s="1"/>
  <c r="F57" i="13"/>
  <c r="F59" i="13" s="1"/>
  <c r="G25" i="13"/>
  <c r="G26" i="13" s="1"/>
  <c r="H23" i="13" s="1"/>
  <c r="G45" i="13"/>
  <c r="G46" i="13" s="1"/>
  <c r="G47" i="13" s="1"/>
  <c r="G48" i="13" s="1"/>
  <c r="G49" i="13" s="1"/>
  <c r="G50" i="13" s="1"/>
  <c r="G51" i="13" s="1"/>
  <c r="G52" i="13" s="1"/>
  <c r="G53" i="13" s="1"/>
  <c r="G54" i="13" s="1"/>
  <c r="G55" i="13" s="1"/>
  <c r="G56" i="13" s="1"/>
  <c r="F40" i="13"/>
  <c r="G8" i="13"/>
  <c r="H44" i="13"/>
  <c r="H15" i="13"/>
  <c r="H16" i="13" s="1"/>
  <c r="I13" i="13" s="1"/>
  <c r="G31" i="13"/>
  <c r="H28" i="13" s="1"/>
  <c r="G20" i="13"/>
  <c r="G36" i="13"/>
  <c r="H33" i="13" s="1"/>
  <c r="K214" i="5"/>
  <c r="J213" i="5"/>
  <c r="D231" i="21" l="1"/>
  <c r="H232" i="22" s="1"/>
  <c r="G232" i="22" s="1"/>
  <c r="H231" i="22"/>
  <c r="G231" i="22" s="1"/>
  <c r="K221" i="21"/>
  <c r="K221" i="20"/>
  <c r="K221" i="5"/>
  <c r="F28" i="14"/>
  <c r="F220" i="21" s="1"/>
  <c r="F218" i="21" s="1"/>
  <c r="G209" i="20"/>
  <c r="G209" i="5"/>
  <c r="G209" i="21"/>
  <c r="G21" i="14"/>
  <c r="H18" i="14" s="1"/>
  <c r="G220" i="20"/>
  <c r="G218" i="20" s="1"/>
  <c r="L22" i="14"/>
  <c r="K24" i="14"/>
  <c r="K27" i="14" s="1"/>
  <c r="K10" i="18"/>
  <c r="K17" i="18" s="1"/>
  <c r="G10" i="13"/>
  <c r="G11" i="13" s="1"/>
  <c r="H25" i="13"/>
  <c r="H26" i="13" s="1"/>
  <c r="I23" i="13" s="1"/>
  <c r="H30" i="13"/>
  <c r="H31" i="13" s="1"/>
  <c r="I28" i="13" s="1"/>
  <c r="H35" i="13"/>
  <c r="H36" i="13" s="1"/>
  <c r="I33" i="13" s="1"/>
  <c r="H45" i="13"/>
  <c r="H46" i="13" s="1"/>
  <c r="H47" i="13" s="1"/>
  <c r="H48" i="13" s="1"/>
  <c r="H49" i="13" s="1"/>
  <c r="H50" i="13" s="1"/>
  <c r="H51" i="13" s="1"/>
  <c r="H52" i="13" s="1"/>
  <c r="H53" i="13" s="1"/>
  <c r="H54" i="13" s="1"/>
  <c r="H55" i="13" s="1"/>
  <c r="H56" i="13" s="1"/>
  <c r="G57" i="13"/>
  <c r="G59" i="13" s="1"/>
  <c r="G21" i="13"/>
  <c r="H18" i="13" s="1"/>
  <c r="I44" i="13"/>
  <c r="I15" i="13"/>
  <c r="I16" i="13" s="1"/>
  <c r="J13" i="13" s="1"/>
  <c r="L214" i="5"/>
  <c r="K213" i="5"/>
  <c r="H20" i="14" l="1"/>
  <c r="H220" i="20" s="1"/>
  <c r="H209" i="20"/>
  <c r="H209" i="5"/>
  <c r="H209" i="21"/>
  <c r="M22" i="14"/>
  <c r="L24" i="14"/>
  <c r="L27" i="14" s="1"/>
  <c r="F29" i="14"/>
  <c r="G26" i="14" s="1"/>
  <c r="L7" i="18"/>
  <c r="I30" i="13"/>
  <c r="I25" i="13"/>
  <c r="I26" i="13" s="1"/>
  <c r="J23" i="13" s="1"/>
  <c r="J44" i="13"/>
  <c r="J15" i="13"/>
  <c r="J16" i="13" s="1"/>
  <c r="K13" i="13" s="1"/>
  <c r="G40" i="13"/>
  <c r="H8" i="13"/>
  <c r="I35" i="13"/>
  <c r="I36" i="13" s="1"/>
  <c r="J33" i="13" s="1"/>
  <c r="I45" i="13"/>
  <c r="I46" i="13" s="1"/>
  <c r="I47" i="13" s="1"/>
  <c r="I48" i="13" s="1"/>
  <c r="I49" i="13" s="1"/>
  <c r="I50" i="13" s="1"/>
  <c r="I51" i="13" s="1"/>
  <c r="I52" i="13" s="1"/>
  <c r="I53" i="13" s="1"/>
  <c r="I54" i="13" s="1"/>
  <c r="I55" i="13" s="1"/>
  <c r="I56" i="13" s="1"/>
  <c r="H57" i="13"/>
  <c r="H59" i="13" s="1"/>
  <c r="H20" i="13"/>
  <c r="H21" i="13" s="1"/>
  <c r="I18" i="13" s="1"/>
  <c r="G38" i="13"/>
  <c r="M214" i="5"/>
  <c r="L213" i="5"/>
  <c r="H21" i="14" l="1"/>
  <c r="I18" i="14" s="1"/>
  <c r="H219" i="5"/>
  <c r="H219" i="21"/>
  <c r="H219" i="20"/>
  <c r="H218" i="20" s="1"/>
  <c r="N22" i="14"/>
  <c r="M24" i="14"/>
  <c r="M27" i="14" s="1"/>
  <c r="I209" i="20"/>
  <c r="I209" i="5"/>
  <c r="I209" i="21"/>
  <c r="G28" i="14"/>
  <c r="G220" i="21" s="1"/>
  <c r="G218" i="21" s="1"/>
  <c r="L9" i="18"/>
  <c r="L16" i="18" s="1"/>
  <c r="K44" i="13"/>
  <c r="K15" i="13"/>
  <c r="K16" i="13" s="1"/>
  <c r="L13" i="13" s="1"/>
  <c r="J35" i="13"/>
  <c r="J36" i="13" s="1"/>
  <c r="K33" i="13" s="1"/>
  <c r="H10" i="13"/>
  <c r="H38" i="13" s="1"/>
  <c r="J45" i="13"/>
  <c r="J46" i="13" s="1"/>
  <c r="J47" i="13" s="1"/>
  <c r="J48" i="13" s="1"/>
  <c r="J49" i="13" s="1"/>
  <c r="J50" i="13" s="1"/>
  <c r="J51" i="13" s="1"/>
  <c r="J52" i="13" s="1"/>
  <c r="J53" i="13" s="1"/>
  <c r="J54" i="13" s="1"/>
  <c r="J55" i="13" s="1"/>
  <c r="J56" i="13" s="1"/>
  <c r="I57" i="13"/>
  <c r="I59" i="13" s="1"/>
  <c r="I20" i="13"/>
  <c r="I21" i="13" s="1"/>
  <c r="J18" i="13" s="1"/>
  <c r="J25" i="13"/>
  <c r="J26" i="13" s="1"/>
  <c r="K23" i="13" s="1"/>
  <c r="I31" i="13"/>
  <c r="J28" i="13" s="1"/>
  <c r="N214" i="5"/>
  <c r="M213" i="5"/>
  <c r="I20" i="14" l="1"/>
  <c r="I220" i="20" s="1"/>
  <c r="J209" i="5"/>
  <c r="J209" i="21"/>
  <c r="J209" i="20"/>
  <c r="O22" i="14"/>
  <c r="N24" i="14"/>
  <c r="N27" i="14" s="1"/>
  <c r="I219" i="5"/>
  <c r="I219" i="21"/>
  <c r="I219" i="20"/>
  <c r="I218" i="20" s="1"/>
  <c r="G29" i="14"/>
  <c r="H26" i="14" s="1"/>
  <c r="L221" i="21"/>
  <c r="L221" i="20"/>
  <c r="L221" i="5"/>
  <c r="L10" i="18"/>
  <c r="L17" i="18" s="1"/>
  <c r="K25" i="13"/>
  <c r="K26" i="13" s="1"/>
  <c r="L23" i="13" s="1"/>
  <c r="L44" i="13"/>
  <c r="L15" i="13"/>
  <c r="L16" i="13" s="1"/>
  <c r="M13" i="13" s="1"/>
  <c r="J20" i="13"/>
  <c r="J21" i="13" s="1"/>
  <c r="K18" i="13" s="1"/>
  <c r="J57" i="13"/>
  <c r="J59" i="13" s="1"/>
  <c r="K35" i="13"/>
  <c r="K36" i="13" s="1"/>
  <c r="L33" i="13" s="1"/>
  <c r="H11" i="13"/>
  <c r="J30" i="13"/>
  <c r="K45" i="13"/>
  <c r="K46" i="13" s="1"/>
  <c r="K47" i="13" s="1"/>
  <c r="K48" i="13" s="1"/>
  <c r="K49" i="13" s="1"/>
  <c r="K50" i="13" s="1"/>
  <c r="K51" i="13" s="1"/>
  <c r="K52" i="13" s="1"/>
  <c r="K53" i="13" s="1"/>
  <c r="K54" i="13" s="1"/>
  <c r="K55" i="13" s="1"/>
  <c r="K56" i="13" s="1"/>
  <c r="O214" i="5"/>
  <c r="N213" i="5"/>
  <c r="I21" i="14" l="1"/>
  <c r="J18" i="14" s="1"/>
  <c r="P22" i="14"/>
  <c r="O24" i="14"/>
  <c r="O27" i="14" s="1"/>
  <c r="K209" i="21"/>
  <c r="K209" i="20"/>
  <c r="K209" i="5"/>
  <c r="H28" i="14"/>
  <c r="H220" i="21" s="1"/>
  <c r="H218" i="21" s="1"/>
  <c r="M7" i="18"/>
  <c r="K57" i="13"/>
  <c r="K59" i="13" s="1"/>
  <c r="L35" i="13"/>
  <c r="L36" i="13" s="1"/>
  <c r="M33" i="13" s="1"/>
  <c r="M44" i="13"/>
  <c r="M15" i="13"/>
  <c r="M16" i="13" s="1"/>
  <c r="N13" i="13" s="1"/>
  <c r="K20" i="13"/>
  <c r="K21" i="13" s="1"/>
  <c r="L18" i="13" s="1"/>
  <c r="L25" i="13"/>
  <c r="L26" i="13" s="1"/>
  <c r="M23" i="13" s="1"/>
  <c r="J31" i="13"/>
  <c r="K28" i="13" s="1"/>
  <c r="H40" i="13"/>
  <c r="I8" i="13"/>
  <c r="L45" i="13"/>
  <c r="L46" i="13" s="1"/>
  <c r="L47" i="13" s="1"/>
  <c r="L48" i="13" s="1"/>
  <c r="L49" i="13" s="1"/>
  <c r="L50" i="13" s="1"/>
  <c r="L51" i="13" s="1"/>
  <c r="L52" i="13" s="1"/>
  <c r="L53" i="13" s="1"/>
  <c r="L54" i="13" s="1"/>
  <c r="L55" i="13" s="1"/>
  <c r="L56" i="13" s="1"/>
  <c r="P214" i="5"/>
  <c r="O213" i="5"/>
  <c r="J20" i="14" l="1"/>
  <c r="J220" i="20" s="1"/>
  <c r="J21" i="14"/>
  <c r="K18" i="14" s="1"/>
  <c r="K20" i="14" s="1"/>
  <c r="K21" i="14" s="1"/>
  <c r="H29" i="14"/>
  <c r="I26" i="14" s="1"/>
  <c r="L209" i="21"/>
  <c r="L209" i="20"/>
  <c r="L209" i="5"/>
  <c r="Q22" i="14"/>
  <c r="Q24" i="14" s="1"/>
  <c r="Q27" i="14" s="1"/>
  <c r="P24" i="14"/>
  <c r="P27" i="14" s="1"/>
  <c r="M9" i="18"/>
  <c r="M16" i="18" s="1"/>
  <c r="L57" i="13"/>
  <c r="L59" i="13" s="1"/>
  <c r="N44" i="13"/>
  <c r="N15" i="13"/>
  <c r="N16" i="13" s="1"/>
  <c r="O13" i="13" s="1"/>
  <c r="M25" i="13"/>
  <c r="M26" i="13" s="1"/>
  <c r="N23" i="13" s="1"/>
  <c r="M35" i="13"/>
  <c r="M36" i="13" s="1"/>
  <c r="N33" i="13" s="1"/>
  <c r="K30" i="13"/>
  <c r="M45" i="13"/>
  <c r="M46" i="13" s="1"/>
  <c r="M47" i="13" s="1"/>
  <c r="M48" i="13" s="1"/>
  <c r="M49" i="13" s="1"/>
  <c r="M50" i="13" s="1"/>
  <c r="M51" i="13" s="1"/>
  <c r="M52" i="13" s="1"/>
  <c r="M53" i="13" s="1"/>
  <c r="M54" i="13" s="1"/>
  <c r="M55" i="13" s="1"/>
  <c r="M56" i="13" s="1"/>
  <c r="I10" i="13"/>
  <c r="I38" i="13" s="1"/>
  <c r="L20" i="13"/>
  <c r="L21" i="13" s="1"/>
  <c r="M18" i="13" s="1"/>
  <c r="Q214" i="5"/>
  <c r="P213" i="5"/>
  <c r="M209" i="5" l="1"/>
  <c r="M209" i="21"/>
  <c r="M209" i="20"/>
  <c r="J219" i="5"/>
  <c r="J219" i="21"/>
  <c r="J219" i="20"/>
  <c r="J218" i="20" s="1"/>
  <c r="M221" i="21"/>
  <c r="M221" i="20"/>
  <c r="M221" i="5"/>
  <c r="I28" i="14"/>
  <c r="I220" i="21" s="1"/>
  <c r="I218" i="21" s="1"/>
  <c r="L18" i="14"/>
  <c r="K220" i="20"/>
  <c r="M10" i="18"/>
  <c r="M17" i="18" s="1"/>
  <c r="N25" i="13"/>
  <c r="N26" i="13" s="1"/>
  <c r="O23" i="13" s="1"/>
  <c r="O44" i="13"/>
  <c r="O15" i="13"/>
  <c r="O16" i="13" s="1"/>
  <c r="P13" i="13" s="1"/>
  <c r="M20" i="13"/>
  <c r="M21" i="13"/>
  <c r="N18" i="13" s="1"/>
  <c r="N35" i="13"/>
  <c r="N36" i="13" s="1"/>
  <c r="O33" i="13" s="1"/>
  <c r="M57" i="13"/>
  <c r="M59" i="13" s="1"/>
  <c r="N45" i="13"/>
  <c r="N46" i="13" s="1"/>
  <c r="N47" i="13" s="1"/>
  <c r="N48" i="13" s="1"/>
  <c r="N49" i="13" s="1"/>
  <c r="N50" i="13" s="1"/>
  <c r="N51" i="13" s="1"/>
  <c r="N52" i="13" s="1"/>
  <c r="N53" i="13" s="1"/>
  <c r="N54" i="13" s="1"/>
  <c r="N55" i="13" s="1"/>
  <c r="N56" i="13" s="1"/>
  <c r="I11" i="13"/>
  <c r="K31" i="13"/>
  <c r="L28" i="13" s="1"/>
  <c r="R214" i="5"/>
  <c r="Q213" i="5"/>
  <c r="I29" i="14" l="1"/>
  <c r="J26" i="14" s="1"/>
  <c r="N209" i="5"/>
  <c r="N209" i="21"/>
  <c r="N209" i="20"/>
  <c r="L20" i="14"/>
  <c r="L21" i="14" s="1"/>
  <c r="N7" i="18"/>
  <c r="P44" i="13"/>
  <c r="P15" i="13"/>
  <c r="P16" i="13" s="1"/>
  <c r="Q13" i="13" s="1"/>
  <c r="O35" i="13"/>
  <c r="O36" i="13" s="1"/>
  <c r="P33" i="13" s="1"/>
  <c r="O25" i="13"/>
  <c r="O26" i="13" s="1"/>
  <c r="P23" i="13" s="1"/>
  <c r="O45" i="13"/>
  <c r="O46" i="13" s="1"/>
  <c r="O47" i="13" s="1"/>
  <c r="O48" i="13" s="1"/>
  <c r="O49" i="13" s="1"/>
  <c r="O50" i="13" s="1"/>
  <c r="O51" i="13" s="1"/>
  <c r="O52" i="13" s="1"/>
  <c r="O53" i="13" s="1"/>
  <c r="O54" i="13" s="1"/>
  <c r="O55" i="13" s="1"/>
  <c r="O56" i="13" s="1"/>
  <c r="L30" i="13"/>
  <c r="L31" i="13" s="1"/>
  <c r="M28" i="13" s="1"/>
  <c r="N20" i="13"/>
  <c r="N21" i="13" s="1"/>
  <c r="O18" i="13" s="1"/>
  <c r="I40" i="13"/>
  <c r="J8" i="13"/>
  <c r="N57" i="13"/>
  <c r="N59" i="13" s="1"/>
  <c r="S214" i="5"/>
  <c r="R213" i="5"/>
  <c r="O209" i="20" l="1"/>
  <c r="O209" i="5"/>
  <c r="O209" i="21"/>
  <c r="J28" i="14"/>
  <c r="J220" i="21" s="1"/>
  <c r="J218" i="21" s="1"/>
  <c r="L220" i="20"/>
  <c r="N9" i="18"/>
  <c r="N16" i="18" s="1"/>
  <c r="M18" i="14"/>
  <c r="P25" i="13"/>
  <c r="P26" i="13" s="1"/>
  <c r="Q23" i="13" s="1"/>
  <c r="O20" i="13"/>
  <c r="O21" i="13" s="1"/>
  <c r="P18" i="13" s="1"/>
  <c r="P35" i="13"/>
  <c r="P36" i="13" s="1"/>
  <c r="Q33" i="13" s="1"/>
  <c r="M30" i="13"/>
  <c r="M31" i="13" s="1"/>
  <c r="N28" i="13" s="1"/>
  <c r="Q44" i="13"/>
  <c r="Q15" i="13"/>
  <c r="Q16" i="13" s="1"/>
  <c r="R13" i="13" s="1"/>
  <c r="R15" i="13" s="1"/>
  <c r="O57" i="13"/>
  <c r="O59" i="13" s="1"/>
  <c r="J10" i="13"/>
  <c r="J38" i="13" s="1"/>
  <c r="P45" i="13"/>
  <c r="P46" i="13" s="1"/>
  <c r="P47" i="13" s="1"/>
  <c r="P48" i="13" s="1"/>
  <c r="P49" i="13" s="1"/>
  <c r="P50" i="13" s="1"/>
  <c r="P51" i="13" s="1"/>
  <c r="P52" i="13" s="1"/>
  <c r="P53" i="13" s="1"/>
  <c r="P54" i="13" s="1"/>
  <c r="P55" i="13" s="1"/>
  <c r="P56" i="13" s="1"/>
  <c r="S213" i="5"/>
  <c r="D214" i="5"/>
  <c r="D215" i="22" s="1"/>
  <c r="E215" i="22" s="1"/>
  <c r="J29" i="14" l="1"/>
  <c r="K26" i="14" s="1"/>
  <c r="K219" i="5"/>
  <c r="K219" i="20"/>
  <c r="K218" i="20" s="1"/>
  <c r="K219" i="21"/>
  <c r="N221" i="21"/>
  <c r="N221" i="20"/>
  <c r="N221" i="5"/>
  <c r="P209" i="5"/>
  <c r="P209" i="21"/>
  <c r="P209" i="20"/>
  <c r="M20" i="14"/>
  <c r="M21" i="14" s="1"/>
  <c r="N10" i="18"/>
  <c r="N17" i="18" s="1"/>
  <c r="O7" i="18"/>
  <c r="M220" i="20"/>
  <c r="J11" i="13"/>
  <c r="J40" i="13" s="1"/>
  <c r="P20" i="13"/>
  <c r="P21" i="13" s="1"/>
  <c r="Q18" i="13" s="1"/>
  <c r="N30" i="13"/>
  <c r="N31" i="13" s="1"/>
  <c r="O28" i="13" s="1"/>
  <c r="P57" i="13"/>
  <c r="P59" i="13" s="1"/>
  <c r="R44" i="13"/>
  <c r="R16" i="13"/>
  <c r="K8" i="13"/>
  <c r="Q45" i="13"/>
  <c r="Q46" i="13" s="1"/>
  <c r="Q47" i="13" s="1"/>
  <c r="Q48" i="13" s="1"/>
  <c r="Q49" i="13" s="1"/>
  <c r="Q50" i="13" s="1"/>
  <c r="Q51" i="13" s="1"/>
  <c r="Q52" i="13" s="1"/>
  <c r="Q53" i="13" s="1"/>
  <c r="Q54" i="13" s="1"/>
  <c r="Q55" i="13" s="1"/>
  <c r="Q56" i="13" s="1"/>
  <c r="Q36" i="13"/>
  <c r="R33" i="13" s="1"/>
  <c r="Q35" i="13"/>
  <c r="C35" i="13" s="1"/>
  <c r="Q25" i="13"/>
  <c r="Q26" i="13" s="1"/>
  <c r="R23" i="13" s="1"/>
  <c r="R25" i="13" s="1"/>
  <c r="Q209" i="20" l="1"/>
  <c r="Q209" i="5"/>
  <c r="Q209" i="21"/>
  <c r="D209" i="21" s="1"/>
  <c r="H210" i="22" s="1"/>
  <c r="K28" i="14"/>
  <c r="K220" i="21" s="1"/>
  <c r="K218" i="21" s="1"/>
  <c r="N18" i="14"/>
  <c r="O9" i="18"/>
  <c r="O16" i="18" s="1"/>
  <c r="Q20" i="13"/>
  <c r="Q21" i="13" s="1"/>
  <c r="R18" i="13" s="1"/>
  <c r="R20" i="13" s="1"/>
  <c r="R26" i="13"/>
  <c r="Q57" i="13"/>
  <c r="Q59" i="13" s="1"/>
  <c r="K10" i="13"/>
  <c r="K38" i="13" s="1"/>
  <c r="R45" i="13"/>
  <c r="R46" i="13" s="1"/>
  <c r="R47" i="13" s="1"/>
  <c r="R48" i="13" s="1"/>
  <c r="R49" i="13" s="1"/>
  <c r="R50" i="13" s="1"/>
  <c r="R51" i="13" s="1"/>
  <c r="R52" i="13" s="1"/>
  <c r="R53" i="13" s="1"/>
  <c r="R54" i="13" s="1"/>
  <c r="R55" i="13" s="1"/>
  <c r="R56" i="13" s="1"/>
  <c r="O30" i="13"/>
  <c r="R35" i="13"/>
  <c r="R36" i="13" s="1"/>
  <c r="K29" i="14" l="1"/>
  <c r="L26" i="14" s="1"/>
  <c r="L28" i="14" s="1"/>
  <c r="L220" i="21" s="1"/>
  <c r="R209" i="5"/>
  <c r="R209" i="20"/>
  <c r="D209" i="20" s="1"/>
  <c r="F210" i="22" s="1"/>
  <c r="L219" i="5"/>
  <c r="L219" i="21"/>
  <c r="L219" i="20"/>
  <c r="L218" i="20" s="1"/>
  <c r="O221" i="20"/>
  <c r="O221" i="21"/>
  <c r="O221" i="5"/>
  <c r="K11" i="13"/>
  <c r="N20" i="14"/>
  <c r="N21" i="14" s="1"/>
  <c r="O10" i="18"/>
  <c r="O17" i="18" s="1"/>
  <c r="N220" i="20"/>
  <c r="C15" i="13"/>
  <c r="C42" i="13" s="1"/>
  <c r="K40" i="13"/>
  <c r="L8" i="13"/>
  <c r="R21" i="13"/>
  <c r="R57" i="13"/>
  <c r="R59" i="13" s="1"/>
  <c r="S209" i="5" s="1"/>
  <c r="O31" i="13"/>
  <c r="P28" i="13" s="1"/>
  <c r="G210" i="22" l="1"/>
  <c r="L218" i="21"/>
  <c r="L29" i="14"/>
  <c r="M26" i="14" s="1"/>
  <c r="O18" i="14"/>
  <c r="P7" i="18"/>
  <c r="C25" i="13"/>
  <c r="P30" i="13"/>
  <c r="L10" i="13"/>
  <c r="L38" i="13" s="1"/>
  <c r="M28" i="14" l="1"/>
  <c r="M220" i="21" s="1"/>
  <c r="M29" i="14"/>
  <c r="N26" i="14" s="1"/>
  <c r="M219" i="5"/>
  <c r="M219" i="21"/>
  <c r="M219" i="20"/>
  <c r="M218" i="20" s="1"/>
  <c r="N28" i="14"/>
  <c r="N29" i="14" s="1"/>
  <c r="O20" i="14"/>
  <c r="O21" i="14" s="1"/>
  <c r="P9" i="18"/>
  <c r="P16" i="18" s="1"/>
  <c r="L11" i="13"/>
  <c r="L40" i="13" s="1"/>
  <c r="C20" i="13"/>
  <c r="P31" i="13"/>
  <c r="Q28" i="13" s="1"/>
  <c r="O220" i="20" l="1"/>
  <c r="P221" i="21"/>
  <c r="P221" i="20"/>
  <c r="P221" i="5"/>
  <c r="M8" i="13"/>
  <c r="M218" i="21"/>
  <c r="N220" i="21"/>
  <c r="P18" i="14"/>
  <c r="P10" i="18"/>
  <c r="O26" i="14"/>
  <c r="Q30" i="13"/>
  <c r="M10" i="13"/>
  <c r="M38" i="13" s="1"/>
  <c r="N219" i="5" l="1"/>
  <c r="N219" i="21"/>
  <c r="N218" i="21" s="1"/>
  <c r="N219" i="20"/>
  <c r="N218" i="20" s="1"/>
  <c r="Q7" i="18"/>
  <c r="Q10" i="18" s="1"/>
  <c r="Q17" i="18" s="1"/>
  <c r="P17" i="18"/>
  <c r="O28" i="14"/>
  <c r="O29" i="14" s="1"/>
  <c r="P20" i="14"/>
  <c r="P220" i="20" s="1"/>
  <c r="P21" i="14"/>
  <c r="Q9" i="18"/>
  <c r="Q16" i="18" s="1"/>
  <c r="Q31" i="13"/>
  <c r="R28" i="13" s="1"/>
  <c r="R30" i="13" s="1"/>
  <c r="M11" i="13"/>
  <c r="Q221" i="20" l="1"/>
  <c r="Q221" i="5"/>
  <c r="O220" i="21"/>
  <c r="Q18" i="14"/>
  <c r="R7" i="18"/>
  <c r="M40" i="13"/>
  <c r="N8" i="13"/>
  <c r="R31" i="13"/>
  <c r="Q20" i="14" l="1"/>
  <c r="Q21" i="14" s="1"/>
  <c r="P26" i="14"/>
  <c r="R9" i="18"/>
  <c r="R16" i="18" s="1"/>
  <c r="R221" i="5" s="1"/>
  <c r="R10" i="18"/>
  <c r="R17" i="18" s="1"/>
  <c r="N10" i="13"/>
  <c r="N38" i="13" s="1"/>
  <c r="O219" i="5" l="1"/>
  <c r="O219" i="21"/>
  <c r="O218" i="21" s="1"/>
  <c r="O219" i="20"/>
  <c r="O218" i="20" s="1"/>
  <c r="P28" i="14"/>
  <c r="P220" i="21" s="1"/>
  <c r="Q220" i="20"/>
  <c r="S7" i="18"/>
  <c r="S9" i="18" s="1"/>
  <c r="S16" i="18" s="1"/>
  <c r="R18" i="14"/>
  <c r="N11" i="13"/>
  <c r="N40" i="13" s="1"/>
  <c r="S221" i="5" l="1"/>
  <c r="D16" i="18"/>
  <c r="O8" i="13"/>
  <c r="P29" i="14"/>
  <c r="Q26" i="14" s="1"/>
  <c r="R20" i="14"/>
  <c r="R21" i="14" s="1"/>
  <c r="R220" i="20"/>
  <c r="O10" i="13"/>
  <c r="O38" i="13" s="1"/>
  <c r="O11" i="13"/>
  <c r="P219" i="5" l="1"/>
  <c r="P219" i="21"/>
  <c r="P218" i="21" s="1"/>
  <c r="P219" i="20"/>
  <c r="P218" i="20" s="1"/>
  <c r="D221" i="21"/>
  <c r="D221" i="20"/>
  <c r="Q28" i="14"/>
  <c r="Q220" i="21" s="1"/>
  <c r="D220" i="21" s="1"/>
  <c r="H221" i="22" s="1"/>
  <c r="D220" i="20"/>
  <c r="F221" i="22" s="1"/>
  <c r="D9" i="18"/>
  <c r="S10" i="18"/>
  <c r="S17" i="18" s="1"/>
  <c r="D17" i="18" s="1"/>
  <c r="D20" i="14"/>
  <c r="C30" i="13"/>
  <c r="O40" i="13"/>
  <c r="P8" i="13"/>
  <c r="G221" i="22" l="1"/>
  <c r="F222" i="22"/>
  <c r="R221" i="20"/>
  <c r="Q221" i="21"/>
  <c r="H222" i="22"/>
  <c r="G222" i="22" s="1"/>
  <c r="Q29" i="14"/>
  <c r="P10" i="13"/>
  <c r="P38" i="13" s="1"/>
  <c r="Q219" i="5" l="1"/>
  <c r="Q219" i="20"/>
  <c r="Q218" i="20" s="1"/>
  <c r="D28" i="14"/>
  <c r="P11" i="13"/>
  <c r="P40" i="13" l="1"/>
  <c r="Q8" i="13"/>
  <c r="Q10" i="13" l="1"/>
  <c r="Q38" i="13" s="1"/>
  <c r="R219" i="5" s="1"/>
  <c r="Q11" i="13" l="1"/>
  <c r="Q40" i="13"/>
  <c r="R8" i="13"/>
  <c r="R10" i="13" l="1"/>
  <c r="R38" i="13" s="1"/>
  <c r="S219" i="5" s="1"/>
  <c r="R11" i="13" l="1"/>
  <c r="R40" i="13" l="1"/>
  <c r="C10" i="13" l="1"/>
  <c r="C38" i="13"/>
  <c r="D219" i="21" l="1"/>
  <c r="D219" i="20"/>
  <c r="F220" i="22" l="1"/>
  <c r="R219" i="20"/>
  <c r="R218" i="20" s="1"/>
  <c r="D218" i="20" s="1"/>
  <c r="F219" i="22" s="1"/>
  <c r="H220" i="22"/>
  <c r="G220" i="22" s="1"/>
  <c r="Q219" i="21"/>
  <c r="Q218" i="21" s="1"/>
  <c r="D218" i="21" s="1"/>
  <c r="H219" i="22" s="1"/>
  <c r="G219" i="22" s="1"/>
  <c r="F210" i="5"/>
  <c r="G210" i="5" s="1"/>
  <c r="H210" i="5" s="1"/>
  <c r="I210" i="5" s="1"/>
  <c r="J210" i="5" s="1"/>
  <c r="K210" i="5" s="1"/>
  <c r="L210" i="5" s="1"/>
  <c r="M210" i="5" s="1"/>
  <c r="N210" i="5" s="1"/>
  <c r="O210" i="5" s="1"/>
  <c r="P210" i="5" s="1"/>
  <c r="Q210" i="5" s="1"/>
  <c r="R210" i="5" s="1"/>
  <c r="S210" i="5" s="1"/>
  <c r="F208" i="5"/>
  <c r="G208" i="5" s="1"/>
  <c r="H208" i="5" s="1"/>
  <c r="I208" i="5" s="1"/>
  <c r="J208" i="5" s="1"/>
  <c r="K208" i="5" s="1"/>
  <c r="L208" i="5" s="1"/>
  <c r="M208" i="5" s="1"/>
  <c r="N208" i="5" s="1"/>
  <c r="O208" i="5" s="1"/>
  <c r="P208" i="5" s="1"/>
  <c r="Q208" i="5" s="1"/>
  <c r="R208" i="5" s="1"/>
  <c r="S208" i="5" s="1"/>
  <c r="F203" i="5"/>
  <c r="G203" i="5" s="1"/>
  <c r="H203" i="5" s="1"/>
  <c r="I203" i="5" s="1"/>
  <c r="J203" i="5" s="1"/>
  <c r="K203" i="5" s="1"/>
  <c r="L203" i="5" s="1"/>
  <c r="M203" i="5" s="1"/>
  <c r="N203" i="5" s="1"/>
  <c r="O203" i="5" s="1"/>
  <c r="P203" i="5" s="1"/>
  <c r="Q203" i="5" s="1"/>
  <c r="R203" i="5" s="1"/>
  <c r="S203" i="5" s="1"/>
  <c r="F202" i="5"/>
  <c r="G202" i="5" s="1"/>
  <c r="H202" i="5" s="1"/>
  <c r="I202" i="5" s="1"/>
  <c r="J202" i="5" s="1"/>
  <c r="K202" i="5" s="1"/>
  <c r="L202" i="5" s="1"/>
  <c r="M202" i="5" s="1"/>
  <c r="N202" i="5" s="1"/>
  <c r="O202" i="5" s="1"/>
  <c r="P202" i="5" s="1"/>
  <c r="Q202" i="5" s="1"/>
  <c r="R202" i="5" s="1"/>
  <c r="S202" i="5" s="1"/>
  <c r="F200" i="5"/>
  <c r="G200" i="5" s="1"/>
  <c r="H200" i="5" s="1"/>
  <c r="I200" i="5" s="1"/>
  <c r="J200" i="5" s="1"/>
  <c r="K200" i="5" s="1"/>
  <c r="L200" i="5" s="1"/>
  <c r="M200" i="5" s="1"/>
  <c r="N200" i="5" s="1"/>
  <c r="O200" i="5" s="1"/>
  <c r="P200" i="5" s="1"/>
  <c r="Q200" i="5" s="1"/>
  <c r="R200" i="5" s="1"/>
  <c r="S200" i="5" s="1"/>
  <c r="D199" i="5"/>
  <c r="D200" i="22" s="1"/>
  <c r="D198" i="5"/>
  <c r="D199" i="22" s="1"/>
  <c r="D196" i="5"/>
  <c r="D197" i="22" s="1"/>
  <c r="D197" i="5"/>
  <c r="D198" i="22" s="1"/>
  <c r="D195" i="5"/>
  <c r="D196" i="22" s="1"/>
  <c r="F4" i="4" l="1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3" i="4"/>
  <c r="F175" i="5"/>
  <c r="G175" i="5" s="1"/>
  <c r="F161" i="5"/>
  <c r="G161" i="5" s="1"/>
  <c r="F159" i="5"/>
  <c r="G159" i="5" s="1"/>
  <c r="H159" i="5" s="1"/>
  <c r="F157" i="5"/>
  <c r="G157" i="5" s="1"/>
  <c r="H157" i="5" s="1"/>
  <c r="I157" i="5" s="1"/>
  <c r="F155" i="5"/>
  <c r="G155" i="5" s="1"/>
  <c r="H155" i="5" s="1"/>
  <c r="I155" i="5" s="1"/>
  <c r="J155" i="5" s="1"/>
  <c r="K155" i="5" s="1"/>
  <c r="L155" i="5" s="1"/>
  <c r="M155" i="5" s="1"/>
  <c r="N155" i="5" s="1"/>
  <c r="O155" i="5" s="1"/>
  <c r="P155" i="5" s="1"/>
  <c r="Q155" i="5" s="1"/>
  <c r="R155" i="5" s="1"/>
  <c r="S155" i="5" s="1"/>
  <c r="F153" i="5"/>
  <c r="G153" i="5" s="1"/>
  <c r="H153" i="5" s="1"/>
  <c r="I153" i="5" s="1"/>
  <c r="J153" i="5" s="1"/>
  <c r="K153" i="5" s="1"/>
  <c r="L153" i="5" s="1"/>
  <c r="M153" i="5" s="1"/>
  <c r="N153" i="5" s="1"/>
  <c r="O153" i="5" s="1"/>
  <c r="P153" i="5" s="1"/>
  <c r="Q153" i="5" s="1"/>
  <c r="R153" i="5" s="1"/>
  <c r="S153" i="5" s="1"/>
  <c r="F149" i="5"/>
  <c r="G149" i="5" s="1"/>
  <c r="H149" i="5" s="1"/>
  <c r="I149" i="5" s="1"/>
  <c r="J149" i="5" s="1"/>
  <c r="K149" i="5" s="1"/>
  <c r="L149" i="5" s="1"/>
  <c r="M149" i="5" s="1"/>
  <c r="N149" i="5" s="1"/>
  <c r="O149" i="5" s="1"/>
  <c r="P149" i="5" s="1"/>
  <c r="Q149" i="5" s="1"/>
  <c r="R149" i="5" s="1"/>
  <c r="S149" i="5" s="1"/>
  <c r="F147" i="5"/>
  <c r="F145" i="5"/>
  <c r="G145" i="5" s="1"/>
  <c r="H145" i="5" s="1"/>
  <c r="I145" i="5" s="1"/>
  <c r="J145" i="5" s="1"/>
  <c r="K145" i="5" s="1"/>
  <c r="L145" i="5" s="1"/>
  <c r="M145" i="5" s="1"/>
  <c r="N145" i="5" s="1"/>
  <c r="O145" i="5" s="1"/>
  <c r="P145" i="5" s="1"/>
  <c r="Q145" i="5" s="1"/>
  <c r="R145" i="5" s="1"/>
  <c r="S145" i="5" s="1"/>
  <c r="F138" i="5"/>
  <c r="G138" i="5" s="1"/>
  <c r="F136" i="5"/>
  <c r="G136" i="5" s="1"/>
  <c r="H134" i="1"/>
  <c r="G134" i="1"/>
  <c r="K97" i="20" l="1"/>
  <c r="L97" i="20"/>
  <c r="G97" i="20"/>
  <c r="O97" i="20"/>
  <c r="R97" i="20"/>
  <c r="I97" i="20"/>
  <c r="Q97" i="20"/>
  <c r="M97" i="20"/>
  <c r="N97" i="20"/>
  <c r="J97" i="20"/>
  <c r="P97" i="20"/>
  <c r="H97" i="20"/>
  <c r="F97" i="20"/>
  <c r="K97" i="21"/>
  <c r="H97" i="21"/>
  <c r="P97" i="21"/>
  <c r="M97" i="21"/>
  <c r="G97" i="21"/>
  <c r="N97" i="21"/>
  <c r="I97" i="21"/>
  <c r="O97" i="21"/>
  <c r="Q97" i="21"/>
  <c r="J97" i="21"/>
  <c r="L97" i="21"/>
  <c r="F97" i="21"/>
  <c r="H175" i="5"/>
  <c r="H161" i="5"/>
  <c r="I161" i="5" s="1"/>
  <c r="G147" i="5"/>
  <c r="H147" i="5" s="1"/>
  <c r="I147" i="5" s="1"/>
  <c r="J147" i="5" s="1"/>
  <c r="K147" i="5" s="1"/>
  <c r="L147" i="5" s="1"/>
  <c r="M147" i="5" s="1"/>
  <c r="N147" i="5" s="1"/>
  <c r="O147" i="5" s="1"/>
  <c r="P147" i="5" s="1"/>
  <c r="Q147" i="5" s="1"/>
  <c r="R147" i="5" s="1"/>
  <c r="S147" i="5" s="1"/>
  <c r="J157" i="5"/>
  <c r="I159" i="5"/>
  <c r="H136" i="5"/>
  <c r="H138" i="5"/>
  <c r="D97" i="20" l="1"/>
  <c r="F98" i="22" s="1"/>
  <c r="D97" i="21"/>
  <c r="H98" i="22" s="1"/>
  <c r="G98" i="22" s="1"/>
  <c r="I175" i="5"/>
  <c r="K157" i="5"/>
  <c r="J161" i="5"/>
  <c r="J159" i="5"/>
  <c r="I138" i="5"/>
  <c r="I136" i="5"/>
  <c r="F132" i="5"/>
  <c r="G132" i="5" s="1"/>
  <c r="F130" i="5"/>
  <c r="G130" i="5" s="1"/>
  <c r="F128" i="5"/>
  <c r="G128" i="5" s="1"/>
  <c r="F104" i="5"/>
  <c r="G105" i="5"/>
  <c r="G104" i="5"/>
  <c r="H104" i="5"/>
  <c r="I104" i="5"/>
  <c r="J104" i="5"/>
  <c r="K104" i="5"/>
  <c r="L104" i="5"/>
  <c r="M104" i="5"/>
  <c r="N104" i="5"/>
  <c r="O104" i="5"/>
  <c r="P104" i="5"/>
  <c r="Q104" i="5"/>
  <c r="G109" i="5"/>
  <c r="F109" i="5"/>
  <c r="F108" i="5"/>
  <c r="F107" i="5"/>
  <c r="F106" i="5"/>
  <c r="F105" i="5"/>
  <c r="F103" i="5"/>
  <c r="O22" i="10"/>
  <c r="E21" i="10"/>
  <c r="E20" i="10"/>
  <c r="E19" i="10"/>
  <c r="E18" i="10"/>
  <c r="G107" i="5" s="1"/>
  <c r="E17" i="10"/>
  <c r="E16" i="10"/>
  <c r="G103" i="5" s="1"/>
  <c r="F17" i="10" l="1"/>
  <c r="G106" i="21"/>
  <c r="G106" i="20"/>
  <c r="F19" i="10"/>
  <c r="G108" i="21"/>
  <c r="G108" i="20"/>
  <c r="F21" i="10"/>
  <c r="G105" i="21"/>
  <c r="G105" i="20"/>
  <c r="P22" i="10"/>
  <c r="Q104" i="21"/>
  <c r="D104" i="21" s="1"/>
  <c r="H105" i="22" s="1"/>
  <c r="Q104" i="20"/>
  <c r="G108" i="5"/>
  <c r="F18" i="10"/>
  <c r="G107" i="21"/>
  <c r="G107" i="20"/>
  <c r="F20" i="10"/>
  <c r="G109" i="21"/>
  <c r="G109" i="20"/>
  <c r="F16" i="10"/>
  <c r="G103" i="21"/>
  <c r="G103" i="20"/>
  <c r="G106" i="5"/>
  <c r="J175" i="5"/>
  <c r="K159" i="5"/>
  <c r="K161" i="5"/>
  <c r="L157" i="5"/>
  <c r="J136" i="5"/>
  <c r="H132" i="5"/>
  <c r="J138" i="5"/>
  <c r="H130" i="5"/>
  <c r="I130" i="5" s="1"/>
  <c r="J130" i="5" s="1"/>
  <c r="K130" i="5" s="1"/>
  <c r="L130" i="5" s="1"/>
  <c r="M130" i="5" s="1"/>
  <c r="N130" i="5" s="1"/>
  <c r="O130" i="5" s="1"/>
  <c r="P130" i="5" s="1"/>
  <c r="Q130" i="5" s="1"/>
  <c r="R130" i="5" s="1"/>
  <c r="S130" i="5" s="1"/>
  <c r="H128" i="5"/>
  <c r="G18" i="10" l="1"/>
  <c r="H107" i="21"/>
  <c r="H107" i="20"/>
  <c r="H107" i="5"/>
  <c r="G16" i="10"/>
  <c r="H103" i="21"/>
  <c r="H103" i="20"/>
  <c r="H103" i="5"/>
  <c r="D104" i="20"/>
  <c r="F105" i="22" s="1"/>
  <c r="G105" i="22" s="1"/>
  <c r="G19" i="10"/>
  <c r="H108" i="21"/>
  <c r="H108" i="20"/>
  <c r="H108" i="5"/>
  <c r="Q22" i="10"/>
  <c r="R104" i="20"/>
  <c r="R104" i="5"/>
  <c r="G21" i="10"/>
  <c r="H105" i="21"/>
  <c r="H105" i="20"/>
  <c r="H105" i="5"/>
  <c r="G20" i="10"/>
  <c r="H109" i="21"/>
  <c r="H109" i="20"/>
  <c r="H109" i="5"/>
  <c r="G17" i="10"/>
  <c r="H106" i="21"/>
  <c r="H106" i="20"/>
  <c r="H106" i="5"/>
  <c r="K175" i="5"/>
  <c r="M157" i="5"/>
  <c r="L159" i="5"/>
  <c r="L161" i="5"/>
  <c r="I132" i="5"/>
  <c r="J132" i="5" s="1"/>
  <c r="K138" i="5"/>
  <c r="K136" i="5"/>
  <c r="I128" i="5"/>
  <c r="H19" i="10" l="1"/>
  <c r="I108" i="21"/>
  <c r="I108" i="20"/>
  <c r="I108" i="5"/>
  <c r="H17" i="10"/>
  <c r="I106" i="20"/>
  <c r="I106" i="21"/>
  <c r="I106" i="5"/>
  <c r="H21" i="10"/>
  <c r="I105" i="21"/>
  <c r="I105" i="20"/>
  <c r="I105" i="5"/>
  <c r="H18" i="10"/>
  <c r="I107" i="21"/>
  <c r="I107" i="20"/>
  <c r="I107" i="5"/>
  <c r="H16" i="10"/>
  <c r="I103" i="21"/>
  <c r="I103" i="20"/>
  <c r="I103" i="5"/>
  <c r="D104" i="5"/>
  <c r="D105" i="22" s="1"/>
  <c r="E105" i="22" s="1"/>
  <c r="H20" i="10"/>
  <c r="I109" i="21"/>
  <c r="I109" i="20"/>
  <c r="I109" i="5"/>
  <c r="R22" i="10"/>
  <c r="S22" i="10" s="1"/>
  <c r="T22" i="10" s="1"/>
  <c r="S104" i="5"/>
  <c r="L175" i="5"/>
  <c r="M159" i="5"/>
  <c r="M161" i="5"/>
  <c r="N157" i="5"/>
  <c r="L138" i="5"/>
  <c r="L136" i="5"/>
  <c r="K132" i="5"/>
  <c r="J128" i="5"/>
  <c r="I16" i="10" l="1"/>
  <c r="J103" i="21"/>
  <c r="J103" i="20"/>
  <c r="J103" i="5"/>
  <c r="I21" i="10"/>
  <c r="J105" i="21"/>
  <c r="J105" i="20"/>
  <c r="J105" i="5"/>
  <c r="I19" i="10"/>
  <c r="J108" i="21"/>
  <c r="J108" i="20"/>
  <c r="J108" i="5"/>
  <c r="I20" i="10"/>
  <c r="J109" i="21"/>
  <c r="J109" i="20"/>
  <c r="J109" i="5"/>
  <c r="I18" i="10"/>
  <c r="J107" i="21"/>
  <c r="J107" i="20"/>
  <c r="J107" i="5"/>
  <c r="I17" i="10"/>
  <c r="J106" i="21"/>
  <c r="J106" i="20"/>
  <c r="J106" i="5"/>
  <c r="M175" i="5"/>
  <c r="O157" i="5"/>
  <c r="N159" i="5"/>
  <c r="N161" i="5"/>
  <c r="M136" i="5"/>
  <c r="M138" i="5"/>
  <c r="L132" i="5"/>
  <c r="K128" i="5"/>
  <c r="J18" i="10" l="1"/>
  <c r="K107" i="21"/>
  <c r="K107" i="20"/>
  <c r="K107" i="5"/>
  <c r="J16" i="10"/>
  <c r="K103" i="21"/>
  <c r="K103" i="20"/>
  <c r="K103" i="5"/>
  <c r="J17" i="10"/>
  <c r="K106" i="21"/>
  <c r="K106" i="20"/>
  <c r="K106" i="5"/>
  <c r="J20" i="10"/>
  <c r="K109" i="21"/>
  <c r="K109" i="20"/>
  <c r="K109" i="5"/>
  <c r="J21" i="10"/>
  <c r="K105" i="21"/>
  <c r="K105" i="20"/>
  <c r="K105" i="5"/>
  <c r="J19" i="10"/>
  <c r="K108" i="21"/>
  <c r="K108" i="20"/>
  <c r="K108" i="5"/>
  <c r="N175" i="5"/>
  <c r="O161" i="5"/>
  <c r="P157" i="5"/>
  <c r="O159" i="5"/>
  <c r="N138" i="5"/>
  <c r="N136" i="5"/>
  <c r="M132" i="5"/>
  <c r="L128" i="5"/>
  <c r="K16" i="10" l="1"/>
  <c r="L103" i="21"/>
  <c r="L103" i="20"/>
  <c r="L103" i="5"/>
  <c r="K21" i="10"/>
  <c r="L105" i="21"/>
  <c r="L105" i="20"/>
  <c r="L105" i="5"/>
  <c r="K18" i="10"/>
  <c r="L107" i="21"/>
  <c r="L107" i="20"/>
  <c r="L107" i="5"/>
  <c r="K17" i="10"/>
  <c r="L106" i="21"/>
  <c r="L106" i="20"/>
  <c r="L106" i="5"/>
  <c r="K19" i="10"/>
  <c r="L108" i="21"/>
  <c r="L108" i="20"/>
  <c r="L108" i="5"/>
  <c r="K20" i="10"/>
  <c r="L109" i="21"/>
  <c r="L109" i="20"/>
  <c r="L109" i="5"/>
  <c r="O175" i="5"/>
  <c r="P159" i="5"/>
  <c r="P161" i="5"/>
  <c r="Q157" i="5"/>
  <c r="O136" i="5"/>
  <c r="O138" i="5"/>
  <c r="N132" i="5"/>
  <c r="M128" i="5"/>
  <c r="L21" i="10" l="1"/>
  <c r="M105" i="20"/>
  <c r="M105" i="21"/>
  <c r="M105" i="5"/>
  <c r="L20" i="10"/>
  <c r="M109" i="20"/>
  <c r="M109" i="21"/>
  <c r="M109" i="5"/>
  <c r="L17" i="10"/>
  <c r="M106" i="21"/>
  <c r="M106" i="20"/>
  <c r="M106" i="5"/>
  <c r="L19" i="10"/>
  <c r="M108" i="21"/>
  <c r="M108" i="20"/>
  <c r="M108" i="5"/>
  <c r="L18" i="10"/>
  <c r="M107" i="21"/>
  <c r="M107" i="20"/>
  <c r="M107" i="5"/>
  <c r="L16" i="10"/>
  <c r="M103" i="20"/>
  <c r="M103" i="21"/>
  <c r="M103" i="5"/>
  <c r="P175" i="5"/>
  <c r="Q161" i="5"/>
  <c r="R157" i="5"/>
  <c r="Q159" i="5"/>
  <c r="P138" i="5"/>
  <c r="P136" i="5"/>
  <c r="O132" i="5"/>
  <c r="N128" i="5"/>
  <c r="M20" i="10" l="1"/>
  <c r="N109" i="21"/>
  <c r="N109" i="20"/>
  <c r="N109" i="5"/>
  <c r="M16" i="10"/>
  <c r="N103" i="21"/>
  <c r="N103" i="20"/>
  <c r="N103" i="5"/>
  <c r="M19" i="10"/>
  <c r="N108" i="21"/>
  <c r="N108" i="20"/>
  <c r="N108" i="5"/>
  <c r="M18" i="10"/>
  <c r="N107" i="21"/>
  <c r="N107" i="20"/>
  <c r="N107" i="5"/>
  <c r="M17" i="10"/>
  <c r="N106" i="21"/>
  <c r="N106" i="20"/>
  <c r="N106" i="5"/>
  <c r="M21" i="10"/>
  <c r="N105" i="21"/>
  <c r="N105" i="20"/>
  <c r="N105" i="5"/>
  <c r="Q175" i="5"/>
  <c r="R159" i="5"/>
  <c r="R161" i="5"/>
  <c r="S157" i="5"/>
  <c r="Q136" i="5"/>
  <c r="Q138" i="5"/>
  <c r="P132" i="5"/>
  <c r="O128" i="5"/>
  <c r="N21" i="10" l="1"/>
  <c r="O105" i="21"/>
  <c r="O105" i="20"/>
  <c r="O105" i="5"/>
  <c r="N18" i="10"/>
  <c r="O107" i="21"/>
  <c r="O107" i="20"/>
  <c r="O107" i="5"/>
  <c r="N16" i="10"/>
  <c r="O103" i="21"/>
  <c r="O103" i="20"/>
  <c r="O103" i="5"/>
  <c r="N17" i="10"/>
  <c r="O106" i="21"/>
  <c r="O106" i="20"/>
  <c r="O106" i="5"/>
  <c r="N19" i="10"/>
  <c r="O108" i="21"/>
  <c r="O108" i="20"/>
  <c r="O108" i="5"/>
  <c r="N20" i="10"/>
  <c r="O109" i="21"/>
  <c r="O109" i="20"/>
  <c r="O109" i="5"/>
  <c r="R175" i="5"/>
  <c r="S159" i="5"/>
  <c r="S161" i="5"/>
  <c r="D147" i="5"/>
  <c r="D148" i="22" s="1"/>
  <c r="R138" i="5"/>
  <c r="R136" i="5"/>
  <c r="Q132" i="5"/>
  <c r="P128" i="5"/>
  <c r="O20" i="10" l="1"/>
  <c r="P109" i="21"/>
  <c r="P109" i="20"/>
  <c r="P109" i="5"/>
  <c r="O18" i="10"/>
  <c r="P107" i="21"/>
  <c r="P107" i="20"/>
  <c r="P107" i="5"/>
  <c r="O17" i="10"/>
  <c r="P106" i="21"/>
  <c r="P106" i="20"/>
  <c r="P106" i="5"/>
  <c r="O19" i="10"/>
  <c r="P108" i="21"/>
  <c r="P108" i="20"/>
  <c r="P108" i="5"/>
  <c r="O16" i="10"/>
  <c r="P103" i="21"/>
  <c r="P103" i="20"/>
  <c r="P103" i="5"/>
  <c r="O21" i="10"/>
  <c r="P105" i="21"/>
  <c r="P105" i="20"/>
  <c r="P105" i="5"/>
  <c r="S175" i="5"/>
  <c r="S136" i="5"/>
  <c r="S138" i="5"/>
  <c r="R132" i="5"/>
  <c r="Q128" i="5"/>
  <c r="P19" i="10" l="1"/>
  <c r="Q108" i="20"/>
  <c r="Q108" i="21"/>
  <c r="D108" i="21" s="1"/>
  <c r="H109" i="22" s="1"/>
  <c r="Q108" i="5"/>
  <c r="P18" i="10"/>
  <c r="Q107" i="21"/>
  <c r="D107" i="21" s="1"/>
  <c r="H108" i="22" s="1"/>
  <c r="Q107" i="20"/>
  <c r="Q107" i="5"/>
  <c r="P21" i="10"/>
  <c r="Q105" i="21"/>
  <c r="D105" i="21" s="1"/>
  <c r="H106" i="22" s="1"/>
  <c r="Q105" i="20"/>
  <c r="Q105" i="5"/>
  <c r="P16" i="10"/>
  <c r="Q103" i="21"/>
  <c r="D103" i="21" s="1"/>
  <c r="H104" i="22" s="1"/>
  <c r="Q103" i="20"/>
  <c r="Q103" i="5"/>
  <c r="P17" i="10"/>
  <c r="Q106" i="20"/>
  <c r="Q106" i="21"/>
  <c r="D106" i="21" s="1"/>
  <c r="H107" i="22" s="1"/>
  <c r="Q106" i="5"/>
  <c r="P20" i="10"/>
  <c r="Q109" i="21"/>
  <c r="D109" i="21" s="1"/>
  <c r="H110" i="22" s="1"/>
  <c r="Q109" i="20"/>
  <c r="Q109" i="5"/>
  <c r="S132" i="5"/>
  <c r="R128" i="5"/>
  <c r="Q16" i="10" l="1"/>
  <c r="R103" i="20"/>
  <c r="D103" i="20" s="1"/>
  <c r="F104" i="22" s="1"/>
  <c r="G104" i="22" s="1"/>
  <c r="R103" i="5"/>
  <c r="Q20" i="10"/>
  <c r="R109" i="20"/>
  <c r="D109" i="20" s="1"/>
  <c r="F110" i="22" s="1"/>
  <c r="R109" i="5"/>
  <c r="G107" i="22"/>
  <c r="Q18" i="10"/>
  <c r="R107" i="20"/>
  <c r="D107" i="20" s="1"/>
  <c r="F108" i="22" s="1"/>
  <c r="R107" i="5"/>
  <c r="G106" i="22"/>
  <c r="Q17" i="10"/>
  <c r="R106" i="20"/>
  <c r="D106" i="20" s="1"/>
  <c r="F107" i="22" s="1"/>
  <c r="R106" i="5"/>
  <c r="Q21" i="10"/>
  <c r="R105" i="20"/>
  <c r="D105" i="20" s="1"/>
  <c r="F106" i="22" s="1"/>
  <c r="R105" i="5"/>
  <c r="Q19" i="10"/>
  <c r="R108" i="20"/>
  <c r="D108" i="20" s="1"/>
  <c r="F109" i="22" s="1"/>
  <c r="R108" i="5"/>
  <c r="D132" i="5"/>
  <c r="D133" i="22" s="1"/>
  <c r="S128" i="5"/>
  <c r="R17" i="10" l="1"/>
  <c r="S17" i="10" s="1"/>
  <c r="T17" i="10" s="1"/>
  <c r="S106" i="5"/>
  <c r="R20" i="10"/>
  <c r="S20" i="10" s="1"/>
  <c r="T20" i="10" s="1"/>
  <c r="S109" i="5"/>
  <c r="G110" i="22"/>
  <c r="R18" i="10"/>
  <c r="S18" i="10" s="1"/>
  <c r="T18" i="10" s="1"/>
  <c r="S107" i="5"/>
  <c r="R19" i="10"/>
  <c r="S19" i="10" s="1"/>
  <c r="T19" i="10" s="1"/>
  <c r="S108" i="5"/>
  <c r="R21" i="10"/>
  <c r="S21" i="10" s="1"/>
  <c r="T21" i="10" s="1"/>
  <c r="S105" i="5"/>
  <c r="G108" i="22"/>
  <c r="G109" i="22"/>
  <c r="R16" i="10"/>
  <c r="S16" i="10" s="1"/>
  <c r="T16" i="10" s="1"/>
  <c r="S103" i="5"/>
  <c r="D99" i="5"/>
  <c r="G94" i="5" l="1"/>
  <c r="G230" i="5" s="1"/>
  <c r="H94" i="5"/>
  <c r="I94" i="5"/>
  <c r="J94" i="5"/>
  <c r="K94" i="5"/>
  <c r="K233" i="5" s="1"/>
  <c r="L94" i="5"/>
  <c r="L233" i="5" s="1"/>
  <c r="M94" i="5"/>
  <c r="M233" i="5" s="1"/>
  <c r="M230" i="5" s="1"/>
  <c r="N94" i="5"/>
  <c r="N233" i="5" s="1"/>
  <c r="N230" i="5" s="1"/>
  <c r="O94" i="5"/>
  <c r="O233" i="5" s="1"/>
  <c r="O230" i="5" s="1"/>
  <c r="P94" i="5"/>
  <c r="P233" i="5" s="1"/>
  <c r="P230" i="5" s="1"/>
  <c r="Q94" i="5"/>
  <c r="Q233" i="5" s="1"/>
  <c r="Q230" i="5" s="1"/>
  <c r="R94" i="5"/>
  <c r="R233" i="5" s="1"/>
  <c r="R230" i="5" s="1"/>
  <c r="S94" i="5"/>
  <c r="S233" i="5" s="1"/>
  <c r="F94" i="5"/>
  <c r="F230" i="5" s="1"/>
  <c r="D53" i="5"/>
  <c r="D84" i="5"/>
  <c r="D85" i="22" s="1"/>
  <c r="D85" i="5"/>
  <c r="D86" i="22" s="1"/>
  <c r="D83" i="5"/>
  <c r="D84" i="22" s="1"/>
  <c r="F53" i="5" l="1"/>
  <c r="G53" i="5" s="1"/>
  <c r="H53" i="5" s="1"/>
  <c r="I53" i="5" s="1"/>
  <c r="J53" i="5" s="1"/>
  <c r="K53" i="5" s="1"/>
  <c r="L53" i="5" s="1"/>
  <c r="M53" i="5" s="1"/>
  <c r="N53" i="5" s="1"/>
  <c r="O53" i="5" s="1"/>
  <c r="P53" i="5" s="1"/>
  <c r="Q53" i="5" s="1"/>
  <c r="R53" i="5" s="1"/>
  <c r="S53" i="5" s="1"/>
  <c r="D54" i="22"/>
  <c r="E54" i="22" s="1"/>
  <c r="S230" i="5"/>
  <c r="D57" i="5"/>
  <c r="D56" i="5"/>
  <c r="D54" i="5"/>
  <c r="D52" i="5"/>
  <c r="D50" i="5"/>
  <c r="D49" i="5"/>
  <c r="D48" i="5"/>
  <c r="F52" i="5" l="1"/>
  <c r="G52" i="5" s="1"/>
  <c r="H52" i="5" s="1"/>
  <c r="I52" i="5" s="1"/>
  <c r="J52" i="5" s="1"/>
  <c r="K52" i="5" s="1"/>
  <c r="L52" i="5" s="1"/>
  <c r="M52" i="5" s="1"/>
  <c r="N52" i="5" s="1"/>
  <c r="O52" i="5" s="1"/>
  <c r="P52" i="5" s="1"/>
  <c r="Q52" i="5" s="1"/>
  <c r="R52" i="5" s="1"/>
  <c r="S52" i="5" s="1"/>
  <c r="D53" i="22"/>
  <c r="E53" i="22" s="1"/>
  <c r="F50" i="5"/>
  <c r="G50" i="5" s="1"/>
  <c r="H50" i="5" s="1"/>
  <c r="I50" i="5" s="1"/>
  <c r="J50" i="5" s="1"/>
  <c r="K50" i="5" s="1"/>
  <c r="L50" i="5" s="1"/>
  <c r="M50" i="5" s="1"/>
  <c r="N50" i="5" s="1"/>
  <c r="O50" i="5" s="1"/>
  <c r="P50" i="5" s="1"/>
  <c r="Q50" i="5" s="1"/>
  <c r="R50" i="5" s="1"/>
  <c r="S50" i="5" s="1"/>
  <c r="D51" i="22"/>
  <c r="E51" i="22" s="1"/>
  <c r="F57" i="5"/>
  <c r="G57" i="5" s="1"/>
  <c r="H57" i="5" s="1"/>
  <c r="I57" i="5" s="1"/>
  <c r="J57" i="5" s="1"/>
  <c r="K57" i="5" s="1"/>
  <c r="L57" i="5" s="1"/>
  <c r="M57" i="5" s="1"/>
  <c r="N57" i="5" s="1"/>
  <c r="O57" i="5" s="1"/>
  <c r="P57" i="5" s="1"/>
  <c r="Q57" i="5" s="1"/>
  <c r="R57" i="5" s="1"/>
  <c r="S57" i="5" s="1"/>
  <c r="D58" i="22"/>
  <c r="E58" i="22" s="1"/>
  <c r="F56" i="5"/>
  <c r="G56" i="5" s="1"/>
  <c r="H56" i="5" s="1"/>
  <c r="I56" i="5" s="1"/>
  <c r="J56" i="5" s="1"/>
  <c r="K56" i="5" s="1"/>
  <c r="L56" i="5" s="1"/>
  <c r="M56" i="5" s="1"/>
  <c r="N56" i="5" s="1"/>
  <c r="O56" i="5" s="1"/>
  <c r="P56" i="5" s="1"/>
  <c r="Q56" i="5" s="1"/>
  <c r="R56" i="5" s="1"/>
  <c r="S56" i="5" s="1"/>
  <c r="D57" i="22"/>
  <c r="E57" i="22" s="1"/>
  <c r="F54" i="5"/>
  <c r="G54" i="5" s="1"/>
  <c r="H54" i="5" s="1"/>
  <c r="I54" i="5" s="1"/>
  <c r="J54" i="5" s="1"/>
  <c r="K54" i="5" s="1"/>
  <c r="L54" i="5" s="1"/>
  <c r="M54" i="5" s="1"/>
  <c r="N54" i="5" s="1"/>
  <c r="O54" i="5" s="1"/>
  <c r="P54" i="5" s="1"/>
  <c r="Q54" i="5" s="1"/>
  <c r="R54" i="5" s="1"/>
  <c r="S54" i="5" s="1"/>
  <c r="D55" i="22"/>
  <c r="E55" i="22" s="1"/>
  <c r="F48" i="5"/>
  <c r="G48" i="5" s="1"/>
  <c r="H48" i="5" s="1"/>
  <c r="I48" i="5" s="1"/>
  <c r="J48" i="5" s="1"/>
  <c r="K48" i="5" s="1"/>
  <c r="L48" i="5" s="1"/>
  <c r="M48" i="5" s="1"/>
  <c r="N48" i="5" s="1"/>
  <c r="O48" i="5" s="1"/>
  <c r="P48" i="5" s="1"/>
  <c r="Q48" i="5" s="1"/>
  <c r="R48" i="5" s="1"/>
  <c r="S48" i="5" s="1"/>
  <c r="D49" i="22"/>
  <c r="E49" i="22" s="1"/>
  <c r="F49" i="5"/>
  <c r="G49" i="5" s="1"/>
  <c r="H49" i="5" s="1"/>
  <c r="I49" i="5" s="1"/>
  <c r="J49" i="5" s="1"/>
  <c r="K49" i="5" s="1"/>
  <c r="L49" i="5" s="1"/>
  <c r="M49" i="5" s="1"/>
  <c r="N49" i="5" s="1"/>
  <c r="O49" i="5" s="1"/>
  <c r="P49" i="5" s="1"/>
  <c r="Q49" i="5" s="1"/>
  <c r="R49" i="5" s="1"/>
  <c r="S49" i="5" s="1"/>
  <c r="D50" i="22"/>
  <c r="E50" i="22" s="1"/>
  <c r="D40" i="5"/>
  <c r="D39" i="5"/>
  <c r="D38" i="5"/>
  <c r="G22" i="5"/>
  <c r="H22" i="5"/>
  <c r="I22" i="5"/>
  <c r="D33" i="22" s="1"/>
  <c r="J22" i="5"/>
  <c r="K22" i="5"/>
  <c r="L22" i="5"/>
  <c r="M22" i="5"/>
  <c r="N22" i="5"/>
  <c r="O22" i="5"/>
  <c r="P22" i="5"/>
  <c r="Q22" i="5"/>
  <c r="R22" i="5"/>
  <c r="S22" i="5"/>
  <c r="F22" i="5"/>
  <c r="D19" i="5"/>
  <c r="D17" i="22" s="1"/>
  <c r="E17" i="22" s="1"/>
  <c r="D18" i="5"/>
  <c r="D16" i="22" s="1"/>
  <c r="E16" i="22" s="1"/>
  <c r="D17" i="5"/>
  <c r="D15" i="22" s="1"/>
  <c r="E15" i="22" s="1"/>
  <c r="D16" i="5"/>
  <c r="D14" i="22" s="1"/>
  <c r="E14" i="22" s="1"/>
  <c r="D15" i="5"/>
  <c r="D13" i="22" s="1"/>
  <c r="E13" i="22" s="1"/>
  <c r="Q47" i="8"/>
  <c r="Q96" i="21" s="1"/>
  <c r="P47" i="8"/>
  <c r="P96" i="21" s="1"/>
  <c r="O47" i="8"/>
  <c r="O96" i="21" s="1"/>
  <c r="N47" i="8"/>
  <c r="N96" i="21" s="1"/>
  <c r="M47" i="8"/>
  <c r="M96" i="21" s="1"/>
  <c r="L47" i="8"/>
  <c r="L96" i="21" s="1"/>
  <c r="K47" i="8"/>
  <c r="K96" i="21" s="1"/>
  <c r="J47" i="8"/>
  <c r="J96" i="21" s="1"/>
  <c r="I47" i="8"/>
  <c r="I96" i="21" s="1"/>
  <c r="H47" i="8"/>
  <c r="H96" i="21" s="1"/>
  <c r="G47" i="8"/>
  <c r="F47" i="8"/>
  <c r="F96" i="21" s="1"/>
  <c r="Q41" i="8"/>
  <c r="P41" i="8"/>
  <c r="O41" i="8"/>
  <c r="N41" i="8"/>
  <c r="M41" i="8"/>
  <c r="L41" i="8"/>
  <c r="K41" i="8"/>
  <c r="J41" i="8"/>
  <c r="I41" i="8"/>
  <c r="H41" i="8"/>
  <c r="G41" i="8"/>
  <c r="F41" i="8"/>
  <c r="Q40" i="8"/>
  <c r="P40" i="8"/>
  <c r="O40" i="8"/>
  <c r="N40" i="8"/>
  <c r="M40" i="8"/>
  <c r="L40" i="8"/>
  <c r="K40" i="8"/>
  <c r="J40" i="8"/>
  <c r="I40" i="8"/>
  <c r="H40" i="8"/>
  <c r="G40" i="8"/>
  <c r="F40" i="8"/>
  <c r="Q39" i="8"/>
  <c r="P39" i="8"/>
  <c r="O39" i="8"/>
  <c r="N39" i="8"/>
  <c r="M39" i="8"/>
  <c r="L39" i="8"/>
  <c r="K39" i="8"/>
  <c r="J39" i="8"/>
  <c r="I39" i="8"/>
  <c r="H39" i="8"/>
  <c r="G39" i="8"/>
  <c r="F39" i="8"/>
  <c r="Q38" i="8"/>
  <c r="P38" i="8"/>
  <c r="O38" i="8"/>
  <c r="N38" i="8"/>
  <c r="M38" i="8"/>
  <c r="L38" i="8"/>
  <c r="K38" i="8"/>
  <c r="J38" i="8"/>
  <c r="I38" i="8"/>
  <c r="H38" i="8"/>
  <c r="G38" i="8"/>
  <c r="F38" i="8"/>
  <c r="Q37" i="8"/>
  <c r="P37" i="8"/>
  <c r="O37" i="8"/>
  <c r="N37" i="8"/>
  <c r="M37" i="8"/>
  <c r="L37" i="8"/>
  <c r="K37" i="8"/>
  <c r="J37" i="8"/>
  <c r="I37" i="8"/>
  <c r="H37" i="8"/>
  <c r="G37" i="8"/>
  <c r="F37" i="8"/>
  <c r="D36" i="8"/>
  <c r="N45" i="8" s="1"/>
  <c r="G39" i="5" l="1"/>
  <c r="D40" i="22"/>
  <c r="E40" i="22" s="1"/>
  <c r="D47" i="8"/>
  <c r="G96" i="21"/>
  <c r="D96" i="21" s="1"/>
  <c r="H97" i="22" s="1"/>
  <c r="D34" i="22"/>
  <c r="J40" i="5"/>
  <c r="D41" i="22"/>
  <c r="E41" i="22" s="1"/>
  <c r="G38" i="5"/>
  <c r="D39" i="22"/>
  <c r="E39" i="22" s="1"/>
  <c r="Q176" i="5"/>
  <c r="Q7" i="14"/>
  <c r="M176" i="5"/>
  <c r="M7" i="14"/>
  <c r="I176" i="5"/>
  <c r="I7" i="14"/>
  <c r="F95" i="5"/>
  <c r="F97" i="5" s="1"/>
  <c r="F133" i="5" s="1"/>
  <c r="F7" i="14"/>
  <c r="P176" i="5"/>
  <c r="P7" i="14"/>
  <c r="L176" i="5"/>
  <c r="L7" i="14"/>
  <c r="H176" i="5"/>
  <c r="H7" i="14"/>
  <c r="S176" i="5"/>
  <c r="S7" i="14"/>
  <c r="O176" i="5"/>
  <c r="O7" i="14"/>
  <c r="K176" i="5"/>
  <c r="K7" i="14"/>
  <c r="G176" i="5"/>
  <c r="G7" i="14"/>
  <c r="R176" i="5"/>
  <c r="R7" i="14"/>
  <c r="N176" i="5"/>
  <c r="N7" i="14"/>
  <c r="J176" i="5"/>
  <c r="J7" i="14"/>
  <c r="K36" i="5"/>
  <c r="K148" i="5" s="1"/>
  <c r="K95" i="5"/>
  <c r="S36" i="5"/>
  <c r="S148" i="5" s="1"/>
  <c r="S95" i="5"/>
  <c r="G36" i="5"/>
  <c r="G95" i="5"/>
  <c r="R36" i="5"/>
  <c r="R148" i="5" s="1"/>
  <c r="R95" i="5"/>
  <c r="N36" i="5"/>
  <c r="N148" i="5" s="1"/>
  <c r="N95" i="5"/>
  <c r="J36" i="5"/>
  <c r="J148" i="5" s="1"/>
  <c r="J95" i="5"/>
  <c r="Q36" i="5"/>
  <c r="Q148" i="5" s="1"/>
  <c r="Q95" i="5"/>
  <c r="M36" i="5"/>
  <c r="M148" i="5" s="1"/>
  <c r="M95" i="5"/>
  <c r="I36" i="5"/>
  <c r="I148" i="5" s="1"/>
  <c r="I95" i="5"/>
  <c r="F40" i="5"/>
  <c r="O36" i="5"/>
  <c r="O148" i="5" s="1"/>
  <c r="O95" i="5"/>
  <c r="P36" i="5"/>
  <c r="P148" i="5" s="1"/>
  <c r="P95" i="5"/>
  <c r="L36" i="5"/>
  <c r="L148" i="5" s="1"/>
  <c r="L95" i="5"/>
  <c r="H36" i="5"/>
  <c r="H148" i="5" s="1"/>
  <c r="H95" i="5"/>
  <c r="L40" i="5"/>
  <c r="P40" i="5"/>
  <c r="H40" i="5"/>
  <c r="S40" i="5"/>
  <c r="K40" i="5"/>
  <c r="O40" i="5"/>
  <c r="G40" i="5"/>
  <c r="F39" i="5"/>
  <c r="Q40" i="5"/>
  <c r="M40" i="5"/>
  <c r="I40" i="5"/>
  <c r="R39" i="5"/>
  <c r="R44" i="5" s="1"/>
  <c r="N39" i="5"/>
  <c r="J39" i="5"/>
  <c r="Q39" i="5"/>
  <c r="M39" i="5"/>
  <c r="M44" i="5" s="1"/>
  <c r="I39" i="5"/>
  <c r="P39" i="5"/>
  <c r="L39" i="5"/>
  <c r="H39" i="5"/>
  <c r="R40" i="5"/>
  <c r="N40" i="5"/>
  <c r="S39" i="5"/>
  <c r="O39" i="5"/>
  <c r="K39" i="5"/>
  <c r="R38" i="5"/>
  <c r="N38" i="5"/>
  <c r="J38" i="5"/>
  <c r="Q38" i="5"/>
  <c r="M38" i="5"/>
  <c r="I38" i="5"/>
  <c r="F38" i="5"/>
  <c r="P38" i="5"/>
  <c r="L38" i="5"/>
  <c r="H38" i="5"/>
  <c r="S38" i="5"/>
  <c r="O38" i="5"/>
  <c r="K38" i="5"/>
  <c r="Q42" i="8"/>
  <c r="Q43" i="8"/>
  <c r="M45" i="8"/>
  <c r="J42" i="8"/>
  <c r="N42" i="8"/>
  <c r="J43" i="8"/>
  <c r="N43" i="8"/>
  <c r="J44" i="8"/>
  <c r="N44" i="8"/>
  <c r="F45" i="8"/>
  <c r="F33" i="21" s="1"/>
  <c r="J45" i="8"/>
  <c r="F46" i="8"/>
  <c r="F34" i="21" s="1"/>
  <c r="J46" i="8"/>
  <c r="N46" i="8"/>
  <c r="G42" i="8"/>
  <c r="K42" i="8"/>
  <c r="O42" i="8"/>
  <c r="G43" i="8"/>
  <c r="K43" i="8"/>
  <c r="O43" i="8"/>
  <c r="G44" i="8"/>
  <c r="K44" i="8"/>
  <c r="O44" i="8"/>
  <c r="G45" i="8"/>
  <c r="K45" i="8"/>
  <c r="O45" i="8"/>
  <c r="G46" i="8"/>
  <c r="K46" i="8"/>
  <c r="O46" i="8"/>
  <c r="H42" i="8"/>
  <c r="L42" i="8"/>
  <c r="P42" i="8"/>
  <c r="H43" i="8"/>
  <c r="L43" i="8"/>
  <c r="P43" i="8"/>
  <c r="H44" i="8"/>
  <c r="L44" i="8"/>
  <c r="P44" i="8"/>
  <c r="H45" i="8"/>
  <c r="L45" i="8"/>
  <c r="P45" i="8"/>
  <c r="H46" i="8"/>
  <c r="L46" i="8"/>
  <c r="P46" i="8"/>
  <c r="M42" i="8"/>
  <c r="M43" i="8"/>
  <c r="M44" i="8"/>
  <c r="Q44" i="8"/>
  <c r="Q45" i="8"/>
  <c r="I46" i="8"/>
  <c r="M46" i="8"/>
  <c r="Q46" i="8"/>
  <c r="I42" i="8"/>
  <c r="I43" i="8"/>
  <c r="I44" i="8"/>
  <c r="I45" i="8"/>
  <c r="F42" i="8"/>
  <c r="F30" i="21" s="1"/>
  <c r="F43" i="8"/>
  <c r="F31" i="21" s="1"/>
  <c r="F44" i="8"/>
  <c r="F32" i="21" s="1"/>
  <c r="F190" i="21" l="1"/>
  <c r="F68" i="21"/>
  <c r="F25" i="21"/>
  <c r="F191" i="21"/>
  <c r="F64" i="21"/>
  <c r="F26" i="21"/>
  <c r="F192" i="21"/>
  <c r="F27" i="21"/>
  <c r="F65" i="21"/>
  <c r="F61" i="21"/>
  <c r="F189" i="21"/>
  <c r="F24" i="21"/>
  <c r="F60" i="21"/>
  <c r="F193" i="21"/>
  <c r="F69" i="21"/>
  <c r="F62" i="21"/>
  <c r="F28" i="21"/>
  <c r="F66" i="21"/>
  <c r="K44" i="5"/>
  <c r="I44" i="5"/>
  <c r="N44" i="5"/>
  <c r="Q44" i="5"/>
  <c r="G44" i="5"/>
  <c r="G150" i="5"/>
  <c r="G146" i="5"/>
  <c r="G148" i="5"/>
  <c r="I131" i="5"/>
  <c r="I97" i="5"/>
  <c r="I133" i="5" s="1"/>
  <c r="I137" i="5"/>
  <c r="I139" i="5"/>
  <c r="Q131" i="5"/>
  <c r="Q97" i="5"/>
  <c r="Q133" i="5" s="1"/>
  <c r="Q139" i="5"/>
  <c r="Q137" i="5"/>
  <c r="N131" i="5"/>
  <c r="N97" i="5"/>
  <c r="N133" i="5" s="1"/>
  <c r="N137" i="5"/>
  <c r="N139" i="5"/>
  <c r="G131" i="5"/>
  <c r="G97" i="5"/>
  <c r="G137" i="5"/>
  <c r="G139" i="5"/>
  <c r="K131" i="5"/>
  <c r="K97" i="5"/>
  <c r="K133" i="5" s="1"/>
  <c r="K137" i="5"/>
  <c r="K139" i="5"/>
  <c r="L131" i="5"/>
  <c r="L97" i="5"/>
  <c r="L133" i="5" s="1"/>
  <c r="L137" i="5"/>
  <c r="L139" i="5"/>
  <c r="O131" i="5"/>
  <c r="O97" i="5"/>
  <c r="O133" i="5" s="1"/>
  <c r="O139" i="5"/>
  <c r="O137" i="5"/>
  <c r="M131" i="5"/>
  <c r="M97" i="5"/>
  <c r="M133" i="5" s="1"/>
  <c r="M137" i="5"/>
  <c r="M139" i="5"/>
  <c r="J131" i="5"/>
  <c r="J97" i="5"/>
  <c r="J133" i="5" s="1"/>
  <c r="J139" i="5"/>
  <c r="J137" i="5"/>
  <c r="R131" i="5"/>
  <c r="R97" i="5"/>
  <c r="R133" i="5" s="1"/>
  <c r="R137" i="5"/>
  <c r="R139" i="5"/>
  <c r="S131" i="5"/>
  <c r="S97" i="5"/>
  <c r="S133" i="5" s="1"/>
  <c r="S139" i="5"/>
  <c r="S137" i="5"/>
  <c r="O44" i="5"/>
  <c r="H131" i="5"/>
  <c r="H97" i="5"/>
  <c r="H133" i="5" s="1"/>
  <c r="H139" i="5"/>
  <c r="H137" i="5"/>
  <c r="P131" i="5"/>
  <c r="P97" i="5"/>
  <c r="P133" i="5" s="1"/>
  <c r="P137" i="5"/>
  <c r="P139" i="5"/>
  <c r="H44" i="5"/>
  <c r="P44" i="5"/>
  <c r="S44" i="5"/>
  <c r="J44" i="5"/>
  <c r="L44" i="5"/>
  <c r="R32" i="8"/>
  <c r="R96" i="20" s="1"/>
  <c r="Q32" i="8"/>
  <c r="Q96" i="20" s="1"/>
  <c r="P32" i="8"/>
  <c r="P96" i="20" s="1"/>
  <c r="O32" i="8"/>
  <c r="O96" i="20" s="1"/>
  <c r="N32" i="8"/>
  <c r="N96" i="20" s="1"/>
  <c r="M32" i="8"/>
  <c r="M96" i="20" s="1"/>
  <c r="L32" i="8"/>
  <c r="L96" i="20" s="1"/>
  <c r="K32" i="8"/>
  <c r="K96" i="20" s="1"/>
  <c r="J32" i="8"/>
  <c r="J96" i="20" s="1"/>
  <c r="I32" i="8"/>
  <c r="I96" i="20" s="1"/>
  <c r="H32" i="8"/>
  <c r="H96" i="20" s="1"/>
  <c r="G32" i="8"/>
  <c r="G96" i="20" s="1"/>
  <c r="F32" i="8"/>
  <c r="F96" i="20" s="1"/>
  <c r="N28" i="8"/>
  <c r="R26" i="8"/>
  <c r="Q26" i="8"/>
  <c r="P26" i="8"/>
  <c r="O26" i="8"/>
  <c r="N26" i="8"/>
  <c r="M26" i="8"/>
  <c r="L26" i="8"/>
  <c r="K26" i="8"/>
  <c r="J26" i="8"/>
  <c r="I26" i="8"/>
  <c r="H26" i="8"/>
  <c r="G26" i="8"/>
  <c r="F26" i="8"/>
  <c r="R25" i="8"/>
  <c r="Q25" i="8"/>
  <c r="P25" i="8"/>
  <c r="O25" i="8"/>
  <c r="N25" i="8"/>
  <c r="M25" i="8"/>
  <c r="L25" i="8"/>
  <c r="K25" i="8"/>
  <c r="J25" i="8"/>
  <c r="I25" i="8"/>
  <c r="H25" i="8"/>
  <c r="G25" i="8"/>
  <c r="F25" i="8"/>
  <c r="R24" i="8"/>
  <c r="Q24" i="8"/>
  <c r="P24" i="8"/>
  <c r="O24" i="8"/>
  <c r="N24" i="8"/>
  <c r="M24" i="8"/>
  <c r="L24" i="8"/>
  <c r="K24" i="8"/>
  <c r="J24" i="8"/>
  <c r="I24" i="8"/>
  <c r="H24" i="8"/>
  <c r="G24" i="8"/>
  <c r="F24" i="8"/>
  <c r="R23" i="8"/>
  <c r="Q23" i="8"/>
  <c r="P23" i="8"/>
  <c r="O23" i="8"/>
  <c r="N23" i="8"/>
  <c r="M23" i="8"/>
  <c r="L23" i="8"/>
  <c r="K23" i="8"/>
  <c r="J23" i="8"/>
  <c r="I23" i="8"/>
  <c r="H23" i="8"/>
  <c r="G23" i="8"/>
  <c r="F23" i="8"/>
  <c r="R22" i="8"/>
  <c r="Q22" i="8"/>
  <c r="P22" i="8"/>
  <c r="O22" i="8"/>
  <c r="N22" i="8"/>
  <c r="M22" i="8"/>
  <c r="L22" i="8"/>
  <c r="K22" i="8"/>
  <c r="J22" i="8"/>
  <c r="I22" i="8"/>
  <c r="H22" i="8"/>
  <c r="G22" i="8"/>
  <c r="F22" i="8"/>
  <c r="D21" i="8"/>
  <c r="P31" i="8" s="1"/>
  <c r="K27" i="8" l="1"/>
  <c r="F91" i="21"/>
  <c r="F74" i="21"/>
  <c r="F90" i="21"/>
  <c r="F73" i="21"/>
  <c r="F77" i="21"/>
  <c r="N31" i="21"/>
  <c r="N31" i="20"/>
  <c r="I29" i="8"/>
  <c r="L30" i="8"/>
  <c r="F81" i="21"/>
  <c r="P30" i="8"/>
  <c r="P34" i="21"/>
  <c r="P34" i="20"/>
  <c r="D96" i="20"/>
  <c r="F97" i="22" s="1"/>
  <c r="F87" i="21"/>
  <c r="F72" i="21"/>
  <c r="F89" i="21"/>
  <c r="F80" i="21"/>
  <c r="F78" i="21"/>
  <c r="F88" i="21"/>
  <c r="F76" i="21"/>
  <c r="G27" i="8"/>
  <c r="G143" i="5"/>
  <c r="G133" i="5"/>
  <c r="D97" i="5"/>
  <c r="D98" i="22" s="1"/>
  <c r="E98" i="22" s="1"/>
  <c r="F28" i="8"/>
  <c r="F31" i="20" s="1"/>
  <c r="M29" i="8"/>
  <c r="G31" i="8"/>
  <c r="J28" i="8"/>
  <c r="Q29" i="8"/>
  <c r="D32" i="8"/>
  <c r="O27" i="8"/>
  <c r="R28" i="8"/>
  <c r="R31" i="20" s="1"/>
  <c r="H30" i="8"/>
  <c r="I27" i="8"/>
  <c r="M27" i="8"/>
  <c r="Q27" i="8"/>
  <c r="H28" i="8"/>
  <c r="L28" i="8"/>
  <c r="P28" i="8"/>
  <c r="G29" i="8"/>
  <c r="K29" i="8"/>
  <c r="O29" i="8"/>
  <c r="F30" i="8"/>
  <c r="F33" i="20" s="1"/>
  <c r="J30" i="8"/>
  <c r="N30" i="8"/>
  <c r="R30" i="8"/>
  <c r="R33" i="20" s="1"/>
  <c r="I31" i="8"/>
  <c r="M31" i="8"/>
  <c r="Q31" i="8"/>
  <c r="F27" i="8"/>
  <c r="F30" i="20" s="1"/>
  <c r="J27" i="8"/>
  <c r="N27" i="8"/>
  <c r="R27" i="8"/>
  <c r="R30" i="20" s="1"/>
  <c r="I28" i="8"/>
  <c r="M28" i="8"/>
  <c r="Q28" i="8"/>
  <c r="H29" i="8"/>
  <c r="L29" i="8"/>
  <c r="P29" i="8"/>
  <c r="G30" i="8"/>
  <c r="K30" i="8"/>
  <c r="O30" i="8"/>
  <c r="F31" i="8"/>
  <c r="F34" i="20" s="1"/>
  <c r="J31" i="8"/>
  <c r="N31" i="8"/>
  <c r="R31" i="8"/>
  <c r="R34" i="20" s="1"/>
  <c r="K31" i="8"/>
  <c r="O31" i="8"/>
  <c r="H27" i="8"/>
  <c r="L27" i="8"/>
  <c r="P27" i="8"/>
  <c r="G28" i="8"/>
  <c r="K28" i="8"/>
  <c r="O28" i="8"/>
  <c r="F29" i="8"/>
  <c r="F32" i="20" s="1"/>
  <c r="J29" i="8"/>
  <c r="N29" i="8"/>
  <c r="R29" i="8"/>
  <c r="R32" i="20" s="1"/>
  <c r="I30" i="8"/>
  <c r="M30" i="8"/>
  <c r="Q30" i="8"/>
  <c r="H31" i="8"/>
  <c r="L31" i="8"/>
  <c r="F26" i="20" l="1"/>
  <c r="F64" i="20"/>
  <c r="F191" i="20"/>
  <c r="P32" i="21"/>
  <c r="P32" i="20"/>
  <c r="J30" i="21"/>
  <c r="J30" i="20"/>
  <c r="D30" i="20" s="1"/>
  <c r="F28" i="22" s="1"/>
  <c r="F65" i="20"/>
  <c r="F27" i="20"/>
  <c r="F192" i="20"/>
  <c r="F61" i="20"/>
  <c r="M30" i="20"/>
  <c r="M30" i="21"/>
  <c r="G34" i="21"/>
  <c r="G34" i="20"/>
  <c r="F114" i="21"/>
  <c r="H34" i="21"/>
  <c r="H34" i="20"/>
  <c r="O31" i="21"/>
  <c r="O31" i="20"/>
  <c r="R28" i="20"/>
  <c r="R193" i="20"/>
  <c r="R69" i="20"/>
  <c r="R81" i="20" s="1"/>
  <c r="R62" i="20"/>
  <c r="R66" i="20"/>
  <c r="R78" i="20" s="1"/>
  <c r="L32" i="21"/>
  <c r="L32" i="20"/>
  <c r="F60" i="20"/>
  <c r="F24" i="20"/>
  <c r="F189" i="20"/>
  <c r="O32" i="21"/>
  <c r="O32" i="20"/>
  <c r="I30" i="21"/>
  <c r="I30" i="20"/>
  <c r="M32" i="21"/>
  <c r="M32" i="20"/>
  <c r="N190" i="21"/>
  <c r="N25" i="21"/>
  <c r="N68" i="21"/>
  <c r="F115" i="21"/>
  <c r="Q33" i="21"/>
  <c r="Q33" i="20"/>
  <c r="L34" i="21"/>
  <c r="L34" i="20"/>
  <c r="K31" i="21"/>
  <c r="K31" i="20"/>
  <c r="F190" i="20"/>
  <c r="F25" i="20"/>
  <c r="F68" i="20"/>
  <c r="F112" i="21"/>
  <c r="M33" i="21"/>
  <c r="M33" i="20"/>
  <c r="J34" i="21"/>
  <c r="J34" i="20"/>
  <c r="G32" i="20"/>
  <c r="G32" i="21"/>
  <c r="P30" i="21"/>
  <c r="P30" i="20"/>
  <c r="F28" i="20"/>
  <c r="F193" i="20"/>
  <c r="F66" i="20"/>
  <c r="F69" i="20"/>
  <c r="F62" i="20"/>
  <c r="M31" i="21"/>
  <c r="M31" i="20"/>
  <c r="I34" i="21"/>
  <c r="I34" i="20"/>
  <c r="P31" i="21"/>
  <c r="P31" i="20"/>
  <c r="O30" i="20"/>
  <c r="O30" i="21"/>
  <c r="G30" i="20"/>
  <c r="G30" i="21"/>
  <c r="F116" i="21"/>
  <c r="N34" i="21"/>
  <c r="N34" i="20"/>
  <c r="K32" i="21"/>
  <c r="K32" i="20"/>
  <c r="R190" i="20"/>
  <c r="R25" i="20"/>
  <c r="R68" i="20"/>
  <c r="L30" i="21"/>
  <c r="L30" i="20"/>
  <c r="O33" i="21"/>
  <c r="O33" i="20"/>
  <c r="I31" i="21"/>
  <c r="I31" i="20"/>
  <c r="R27" i="20"/>
  <c r="R61" i="20"/>
  <c r="R192" i="20"/>
  <c r="R65" i="20"/>
  <c r="R77" i="20" s="1"/>
  <c r="L31" i="21"/>
  <c r="L31" i="20"/>
  <c r="K34" i="21"/>
  <c r="K34" i="20"/>
  <c r="Q34" i="21"/>
  <c r="Q34" i="20"/>
  <c r="G31" i="20"/>
  <c r="G31" i="21"/>
  <c r="M34" i="21"/>
  <c r="M34" i="20"/>
  <c r="R191" i="20"/>
  <c r="R26" i="20"/>
  <c r="R64" i="20"/>
  <c r="H30" i="21"/>
  <c r="H30" i="20"/>
  <c r="K33" i="21"/>
  <c r="K33" i="20"/>
  <c r="N33" i="21"/>
  <c r="N33" i="20"/>
  <c r="Q32" i="21"/>
  <c r="Q32" i="20"/>
  <c r="G97" i="22"/>
  <c r="L33" i="21"/>
  <c r="L33" i="20"/>
  <c r="H32" i="21"/>
  <c r="H32" i="20"/>
  <c r="H33" i="21"/>
  <c r="H33" i="20"/>
  <c r="Q31" i="21"/>
  <c r="Q31" i="20"/>
  <c r="I33" i="21"/>
  <c r="I33" i="20"/>
  <c r="N32" i="20"/>
  <c r="N32" i="21"/>
  <c r="R24" i="20"/>
  <c r="R60" i="20"/>
  <c r="R189" i="20"/>
  <c r="H31" i="21"/>
  <c r="H31" i="20"/>
  <c r="J32" i="21"/>
  <c r="J32" i="20"/>
  <c r="O34" i="21"/>
  <c r="O34" i="20"/>
  <c r="G33" i="21"/>
  <c r="G33" i="20"/>
  <c r="N30" i="20"/>
  <c r="N30" i="21"/>
  <c r="J33" i="21"/>
  <c r="J33" i="20"/>
  <c r="Q30" i="20"/>
  <c r="Q30" i="21"/>
  <c r="J31" i="21"/>
  <c r="J31" i="20"/>
  <c r="F113" i="21"/>
  <c r="P28" i="20"/>
  <c r="P193" i="20"/>
  <c r="P69" i="20"/>
  <c r="P81" i="20" s="1"/>
  <c r="P66" i="20"/>
  <c r="P78" i="20" s="1"/>
  <c r="P62" i="20"/>
  <c r="P33" i="21"/>
  <c r="P33" i="20"/>
  <c r="I32" i="21"/>
  <c r="I32" i="20"/>
  <c r="K30" i="20"/>
  <c r="K30" i="21"/>
  <c r="P193" i="21"/>
  <c r="P62" i="21"/>
  <c r="P69" i="21"/>
  <c r="P81" i="21" s="1"/>
  <c r="P28" i="21"/>
  <c r="P66" i="21"/>
  <c r="P78" i="21" s="1"/>
  <c r="N25" i="20"/>
  <c r="N190" i="20"/>
  <c r="N68" i="20"/>
  <c r="O216" i="5"/>
  <c r="M215" i="5"/>
  <c r="S17" i="8"/>
  <c r="S96" i="5" s="1"/>
  <c r="S129" i="5" s="1"/>
  <c r="S125" i="5" s="1"/>
  <c r="S215" i="5" s="1"/>
  <c r="R17" i="8"/>
  <c r="R96" i="5" s="1"/>
  <c r="R129" i="5" s="1"/>
  <c r="R125" i="5" s="1"/>
  <c r="R216" i="5" s="1"/>
  <c r="Q17" i="8"/>
  <c r="Q96" i="5" s="1"/>
  <c r="Q129" i="5" s="1"/>
  <c r="Q125" i="5" s="1"/>
  <c r="Q216" i="5" s="1"/>
  <c r="P17" i="8"/>
  <c r="P96" i="5" s="1"/>
  <c r="P129" i="5" s="1"/>
  <c r="P125" i="5" s="1"/>
  <c r="O17" i="8"/>
  <c r="O96" i="5" s="1"/>
  <c r="O129" i="5" s="1"/>
  <c r="O125" i="5" s="1"/>
  <c r="O215" i="5" s="1"/>
  <c r="N17" i="8"/>
  <c r="N96" i="5" s="1"/>
  <c r="N129" i="5" s="1"/>
  <c r="N125" i="5" s="1"/>
  <c r="N215" i="5" s="1"/>
  <c r="M17" i="8"/>
  <c r="M96" i="5" s="1"/>
  <c r="M129" i="5" s="1"/>
  <c r="M125" i="5" s="1"/>
  <c r="M216" i="5" s="1"/>
  <c r="L17" i="8"/>
  <c r="L96" i="5" s="1"/>
  <c r="L129" i="5" s="1"/>
  <c r="L125" i="5" s="1"/>
  <c r="L216" i="5" s="1"/>
  <c r="K17" i="8"/>
  <c r="K96" i="5" s="1"/>
  <c r="K129" i="5" s="1"/>
  <c r="K125" i="5" s="1"/>
  <c r="K216" i="5" s="1"/>
  <c r="J17" i="8"/>
  <c r="J96" i="5" s="1"/>
  <c r="J129" i="5" s="1"/>
  <c r="J125" i="5" s="1"/>
  <c r="J215" i="5" s="1"/>
  <c r="I17" i="8"/>
  <c r="I96" i="5" s="1"/>
  <c r="I129" i="5" s="1"/>
  <c r="I125" i="5" s="1"/>
  <c r="I216" i="5" s="1"/>
  <c r="H17" i="8"/>
  <c r="H96" i="5" s="1"/>
  <c r="H129" i="5" s="1"/>
  <c r="H125" i="5" s="1"/>
  <c r="G17" i="8"/>
  <c r="G96" i="5" s="1"/>
  <c r="G129" i="5" s="1"/>
  <c r="G125" i="5" s="1"/>
  <c r="F17" i="8"/>
  <c r="F96" i="5" s="1"/>
  <c r="S11" i="8"/>
  <c r="R11" i="8"/>
  <c r="Q11" i="8"/>
  <c r="P11" i="8"/>
  <c r="O11" i="8"/>
  <c r="N11" i="8"/>
  <c r="M11" i="8"/>
  <c r="L11" i="8"/>
  <c r="K11" i="8"/>
  <c r="J11" i="8"/>
  <c r="I11" i="8"/>
  <c r="H11" i="8"/>
  <c r="G11" i="8"/>
  <c r="F11" i="8"/>
  <c r="S10" i="8"/>
  <c r="R10" i="8"/>
  <c r="Q10" i="8"/>
  <c r="P10" i="8"/>
  <c r="O10" i="8"/>
  <c r="N10" i="8"/>
  <c r="M10" i="8"/>
  <c r="L10" i="8"/>
  <c r="K10" i="8"/>
  <c r="J10" i="8"/>
  <c r="I10" i="8"/>
  <c r="H10" i="8"/>
  <c r="G10" i="8"/>
  <c r="F10" i="8"/>
  <c r="S9" i="8"/>
  <c r="R9" i="8"/>
  <c r="Q9" i="8"/>
  <c r="P9" i="8"/>
  <c r="O9" i="8"/>
  <c r="N9" i="8"/>
  <c r="M9" i="8"/>
  <c r="L9" i="8"/>
  <c r="K9" i="8"/>
  <c r="J9" i="8"/>
  <c r="I9" i="8"/>
  <c r="H9" i="8"/>
  <c r="G9" i="8"/>
  <c r="F9" i="8"/>
  <c r="S8" i="8"/>
  <c r="R8" i="8"/>
  <c r="Q8" i="8"/>
  <c r="P8" i="8"/>
  <c r="O8" i="8"/>
  <c r="N8" i="8"/>
  <c r="M8" i="8"/>
  <c r="L8" i="8"/>
  <c r="K8" i="8"/>
  <c r="J8" i="8"/>
  <c r="I8" i="8"/>
  <c r="H8" i="8"/>
  <c r="G8" i="8"/>
  <c r="F8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D6" i="8"/>
  <c r="R215" i="5" l="1"/>
  <c r="L215" i="5"/>
  <c r="K215" i="5"/>
  <c r="S216" i="5"/>
  <c r="G216" i="5"/>
  <c r="G215" i="5"/>
  <c r="P91" i="21"/>
  <c r="P116" i="21" s="1"/>
  <c r="P74" i="21"/>
  <c r="Q190" i="20"/>
  <c r="Q25" i="20"/>
  <c r="Q68" i="20"/>
  <c r="L25" i="20"/>
  <c r="L190" i="20"/>
  <c r="L68" i="20"/>
  <c r="F91" i="20"/>
  <c r="F74" i="20"/>
  <c r="M26" i="20"/>
  <c r="M191" i="20"/>
  <c r="M64" i="20"/>
  <c r="J190" i="21"/>
  <c r="J68" i="21"/>
  <c r="J25" i="21"/>
  <c r="O192" i="21"/>
  <c r="O65" i="21"/>
  <c r="O77" i="21" s="1"/>
  <c r="O27" i="21"/>
  <c r="O61" i="21"/>
  <c r="O24" i="20"/>
  <c r="O189" i="20"/>
  <c r="O60" i="20"/>
  <c r="Q27" i="21"/>
  <c r="Q192" i="21"/>
  <c r="Q61" i="21"/>
  <c r="Q65" i="21"/>
  <c r="Q77" i="21" s="1"/>
  <c r="J189" i="21"/>
  <c r="J24" i="21"/>
  <c r="J60" i="21"/>
  <c r="K24" i="21"/>
  <c r="K189" i="21"/>
  <c r="K60" i="21"/>
  <c r="Q189" i="21"/>
  <c r="Q24" i="21"/>
  <c r="Q60" i="21"/>
  <c r="O62" i="20"/>
  <c r="O66" i="20"/>
  <c r="O78" i="20" s="1"/>
  <c r="O28" i="20"/>
  <c r="O69" i="20"/>
  <c r="O81" i="20" s="1"/>
  <c r="O193" i="20"/>
  <c r="H189" i="20"/>
  <c r="H24" i="20"/>
  <c r="H60" i="20"/>
  <c r="G25" i="20"/>
  <c r="G190" i="20"/>
  <c r="G68" i="20"/>
  <c r="L189" i="20"/>
  <c r="L60" i="20"/>
  <c r="L24" i="20"/>
  <c r="N62" i="21"/>
  <c r="N193" i="21"/>
  <c r="N69" i="21"/>
  <c r="N81" i="21" s="1"/>
  <c r="N66" i="21"/>
  <c r="N78" i="21" s="1"/>
  <c r="N28" i="21"/>
  <c r="P190" i="20"/>
  <c r="P25" i="20"/>
  <c r="P68" i="20"/>
  <c r="F78" i="20"/>
  <c r="D78" i="20" s="1"/>
  <c r="F79" i="22" s="1"/>
  <c r="J28" i="20"/>
  <c r="J62" i="20"/>
  <c r="J193" i="20"/>
  <c r="J66" i="20"/>
  <c r="J78" i="20" s="1"/>
  <c r="J69" i="20"/>
  <c r="J81" i="20" s="1"/>
  <c r="I24" i="20"/>
  <c r="I60" i="20"/>
  <c r="I189" i="20"/>
  <c r="L26" i="20"/>
  <c r="L191" i="20"/>
  <c r="L64" i="20"/>
  <c r="O190" i="21"/>
  <c r="O25" i="21"/>
  <c r="O68" i="21"/>
  <c r="M24" i="20"/>
  <c r="M189" i="20"/>
  <c r="M60" i="20"/>
  <c r="P26" i="20"/>
  <c r="P191" i="20"/>
  <c r="P64" i="20"/>
  <c r="Q24" i="20"/>
  <c r="Q189" i="20"/>
  <c r="Q60" i="20"/>
  <c r="O193" i="21"/>
  <c r="O62" i="21"/>
  <c r="O69" i="21"/>
  <c r="O81" i="21" s="1"/>
  <c r="O28" i="21"/>
  <c r="O66" i="21"/>
  <c r="O78" i="21" s="1"/>
  <c r="N191" i="21"/>
  <c r="N26" i="21"/>
  <c r="N64" i="21"/>
  <c r="H65" i="20"/>
  <c r="H77" i="20" s="1"/>
  <c r="H61" i="20"/>
  <c r="H27" i="20"/>
  <c r="H192" i="20"/>
  <c r="H189" i="21"/>
  <c r="H24" i="21"/>
  <c r="H60" i="21"/>
  <c r="Q62" i="20"/>
  <c r="Q28" i="20"/>
  <c r="Q69" i="20"/>
  <c r="Q81" i="20" s="1"/>
  <c r="Q193" i="20"/>
  <c r="Q66" i="20"/>
  <c r="Q78" i="20" s="1"/>
  <c r="L189" i="21"/>
  <c r="L24" i="21"/>
  <c r="L60" i="21"/>
  <c r="P190" i="21"/>
  <c r="P68" i="21"/>
  <c r="P25" i="21"/>
  <c r="J62" i="21"/>
  <c r="J193" i="21"/>
  <c r="J69" i="21"/>
  <c r="J81" i="21" s="1"/>
  <c r="J28" i="21"/>
  <c r="J66" i="21"/>
  <c r="J78" i="21" s="1"/>
  <c r="I189" i="21"/>
  <c r="I24" i="21"/>
  <c r="I60" i="21"/>
  <c r="L191" i="21"/>
  <c r="L26" i="21"/>
  <c r="L64" i="21"/>
  <c r="H28" i="20"/>
  <c r="H69" i="20"/>
  <c r="H81" i="20" s="1"/>
  <c r="H66" i="20"/>
  <c r="H78" i="20" s="1"/>
  <c r="H193" i="20"/>
  <c r="H62" i="20"/>
  <c r="F73" i="20"/>
  <c r="F90" i="20"/>
  <c r="P191" i="21"/>
  <c r="P26" i="21"/>
  <c r="P64" i="21"/>
  <c r="K192" i="20"/>
  <c r="K61" i="20"/>
  <c r="K27" i="20"/>
  <c r="K65" i="20"/>
  <c r="K77" i="20" s="1"/>
  <c r="K191" i="21"/>
  <c r="K26" i="21"/>
  <c r="K64" i="21"/>
  <c r="G191" i="21"/>
  <c r="G64" i="21"/>
  <c r="G26" i="21"/>
  <c r="D32" i="21"/>
  <c r="H30" i="22" s="1"/>
  <c r="N80" i="20"/>
  <c r="N89" i="20"/>
  <c r="N114" i="20" s="1"/>
  <c r="G61" i="21"/>
  <c r="G192" i="21"/>
  <c r="G27" i="21"/>
  <c r="G65" i="21"/>
  <c r="D33" i="21"/>
  <c r="H31" i="22" s="1"/>
  <c r="K65" i="21"/>
  <c r="K77" i="21" s="1"/>
  <c r="K61" i="21"/>
  <c r="K27" i="21"/>
  <c r="K192" i="21"/>
  <c r="F81" i="20"/>
  <c r="I215" i="5"/>
  <c r="K189" i="20"/>
  <c r="K60" i="20"/>
  <c r="K24" i="20"/>
  <c r="J27" i="20"/>
  <c r="J192" i="20"/>
  <c r="J61" i="20"/>
  <c r="J65" i="20"/>
  <c r="J77" i="20" s="1"/>
  <c r="J191" i="20"/>
  <c r="J26" i="20"/>
  <c r="J64" i="20"/>
  <c r="N26" i="20"/>
  <c r="N191" i="20"/>
  <c r="N64" i="20"/>
  <c r="H192" i="21"/>
  <c r="H27" i="21"/>
  <c r="H65" i="21"/>
  <c r="H77" i="21" s="1"/>
  <c r="H61" i="21"/>
  <c r="Q26" i="20"/>
  <c r="Q191" i="20"/>
  <c r="Q64" i="20"/>
  <c r="R76" i="20"/>
  <c r="R88" i="20"/>
  <c r="R113" i="20" s="1"/>
  <c r="Q28" i="21"/>
  <c r="Q193" i="21"/>
  <c r="Q69" i="21"/>
  <c r="Q81" i="21" s="1"/>
  <c r="Q66" i="21"/>
  <c r="Q78" i="21" s="1"/>
  <c r="Q62" i="21"/>
  <c r="R90" i="20"/>
  <c r="R115" i="20" s="1"/>
  <c r="R73" i="20"/>
  <c r="R89" i="20"/>
  <c r="R114" i="20" s="1"/>
  <c r="R80" i="20"/>
  <c r="I28" i="20"/>
  <c r="I66" i="20"/>
  <c r="I78" i="20" s="1"/>
  <c r="I62" i="20"/>
  <c r="I193" i="20"/>
  <c r="I69" i="20"/>
  <c r="I81" i="20" s="1"/>
  <c r="D34" i="20"/>
  <c r="F32" i="22" s="1"/>
  <c r="M27" i="20"/>
  <c r="M65" i="20"/>
  <c r="M77" i="20" s="1"/>
  <c r="M61" i="20"/>
  <c r="M192" i="20"/>
  <c r="K25" i="20"/>
  <c r="K190" i="20"/>
  <c r="K68" i="20"/>
  <c r="N89" i="21"/>
  <c r="N114" i="21" s="1"/>
  <c r="N80" i="21"/>
  <c r="O26" i="20"/>
  <c r="O191" i="20"/>
  <c r="O64" i="20"/>
  <c r="H193" i="21"/>
  <c r="H28" i="21"/>
  <c r="H69" i="21"/>
  <c r="H81" i="21" s="1"/>
  <c r="H66" i="21"/>
  <c r="H78" i="21" s="1"/>
  <c r="H62" i="21"/>
  <c r="J25" i="20"/>
  <c r="J190" i="20"/>
  <c r="J68" i="20"/>
  <c r="O27" i="20"/>
  <c r="O61" i="20"/>
  <c r="O192" i="20"/>
  <c r="O65" i="20"/>
  <c r="O77" i="20" s="1"/>
  <c r="D60" i="20"/>
  <c r="F61" i="22" s="1"/>
  <c r="F87" i="20"/>
  <c r="F72" i="20"/>
  <c r="P91" i="20"/>
  <c r="P116" i="20" s="1"/>
  <c r="P74" i="20"/>
  <c r="Q190" i="21"/>
  <c r="Q68" i="21"/>
  <c r="Q25" i="21"/>
  <c r="L190" i="21"/>
  <c r="L68" i="21"/>
  <c r="L25" i="21"/>
  <c r="G191" i="20"/>
  <c r="D191" i="20" s="1"/>
  <c r="F192" i="22" s="1"/>
  <c r="G26" i="20"/>
  <c r="G64" i="20"/>
  <c r="O25" i="20"/>
  <c r="O190" i="20"/>
  <c r="O68" i="20"/>
  <c r="N216" i="5"/>
  <c r="Q215" i="5"/>
  <c r="J216" i="5"/>
  <c r="I191" i="20"/>
  <c r="I64" i="20"/>
  <c r="I26" i="20"/>
  <c r="J192" i="21"/>
  <c r="J61" i="21"/>
  <c r="J27" i="21"/>
  <c r="J65" i="21"/>
  <c r="J77" i="21" s="1"/>
  <c r="J191" i="21"/>
  <c r="J26" i="21"/>
  <c r="J64" i="21"/>
  <c r="I61" i="20"/>
  <c r="I27" i="20"/>
  <c r="I192" i="20"/>
  <c r="I65" i="20"/>
  <c r="I77" i="20" s="1"/>
  <c r="H26" i="20"/>
  <c r="H191" i="20"/>
  <c r="H64" i="20"/>
  <c r="Q26" i="21"/>
  <c r="Q191" i="21"/>
  <c r="Q64" i="21"/>
  <c r="K69" i="20"/>
  <c r="K81" i="20" s="1"/>
  <c r="K28" i="20"/>
  <c r="K193" i="20"/>
  <c r="K62" i="20"/>
  <c r="K66" i="20"/>
  <c r="K78" i="20" s="1"/>
  <c r="I28" i="21"/>
  <c r="I62" i="21"/>
  <c r="I193" i="21"/>
  <c r="I69" i="21"/>
  <c r="I81" i="21" s="1"/>
  <c r="I66" i="21"/>
  <c r="I78" i="21" s="1"/>
  <c r="M192" i="21"/>
  <c r="M61" i="21"/>
  <c r="M27" i="21"/>
  <c r="M65" i="21"/>
  <c r="M77" i="21" s="1"/>
  <c r="K190" i="21"/>
  <c r="K68" i="21"/>
  <c r="K25" i="21"/>
  <c r="O191" i="21"/>
  <c r="O26" i="21"/>
  <c r="O64" i="21"/>
  <c r="R91" i="20"/>
  <c r="R116" i="20" s="1"/>
  <c r="R74" i="20"/>
  <c r="F88" i="20"/>
  <c r="F76" i="20"/>
  <c r="G27" i="20"/>
  <c r="D27" i="20" s="1"/>
  <c r="F25" i="22" s="1"/>
  <c r="G192" i="20"/>
  <c r="D192" i="20" s="1"/>
  <c r="F193" i="22" s="1"/>
  <c r="G65" i="20"/>
  <c r="G77" i="20" s="1"/>
  <c r="G61" i="20"/>
  <c r="M28" i="21"/>
  <c r="M66" i="21"/>
  <c r="M78" i="21" s="1"/>
  <c r="M193" i="21"/>
  <c r="M62" i="21"/>
  <c r="M69" i="21"/>
  <c r="M81" i="21" s="1"/>
  <c r="F89" i="20"/>
  <c r="F80" i="20"/>
  <c r="J24" i="20"/>
  <c r="J189" i="20"/>
  <c r="J60" i="20"/>
  <c r="R87" i="20"/>
  <c r="R112" i="20" s="1"/>
  <c r="R72" i="20"/>
  <c r="G190" i="21"/>
  <c r="G68" i="21"/>
  <c r="G25" i="21"/>
  <c r="D31" i="21"/>
  <c r="H29" i="22" s="1"/>
  <c r="G29" i="22" s="1"/>
  <c r="N28" i="20"/>
  <c r="N193" i="20"/>
  <c r="N66" i="20"/>
  <c r="N78" i="20" s="1"/>
  <c r="N69" i="20"/>
  <c r="N81" i="20" s="1"/>
  <c r="N62" i="20"/>
  <c r="D31" i="20"/>
  <c r="F29" i="22" s="1"/>
  <c r="M26" i="21"/>
  <c r="M191" i="21"/>
  <c r="M64" i="21"/>
  <c r="M189" i="21"/>
  <c r="M60" i="21"/>
  <c r="M24" i="21"/>
  <c r="I26" i="21"/>
  <c r="I64" i="21"/>
  <c r="I191" i="21"/>
  <c r="N189" i="21"/>
  <c r="N60" i="21"/>
  <c r="N24" i="21"/>
  <c r="H190" i="20"/>
  <c r="D190" i="20" s="1"/>
  <c r="F191" i="22" s="1"/>
  <c r="H25" i="20"/>
  <c r="D25" i="20" s="1"/>
  <c r="F23" i="22" s="1"/>
  <c r="H68" i="20"/>
  <c r="D68" i="20" s="1"/>
  <c r="F69" i="22" s="1"/>
  <c r="I27" i="21"/>
  <c r="I65" i="21"/>
  <c r="I77" i="21" s="1"/>
  <c r="I192" i="21"/>
  <c r="I61" i="21"/>
  <c r="H191" i="21"/>
  <c r="H26" i="21"/>
  <c r="H64" i="21"/>
  <c r="N27" i="20"/>
  <c r="N65" i="20"/>
  <c r="N77" i="20" s="1"/>
  <c r="N192" i="20"/>
  <c r="N61" i="20"/>
  <c r="K69" i="21"/>
  <c r="K81" i="21" s="1"/>
  <c r="K66" i="21"/>
  <c r="K78" i="21" s="1"/>
  <c r="K28" i="21"/>
  <c r="K193" i="21"/>
  <c r="K62" i="21"/>
  <c r="I25" i="20"/>
  <c r="I68" i="20"/>
  <c r="I190" i="20"/>
  <c r="G24" i="21"/>
  <c r="G189" i="21"/>
  <c r="G60" i="21"/>
  <c r="D30" i="21"/>
  <c r="H28" i="22" s="1"/>
  <c r="G28" i="22" s="1"/>
  <c r="M190" i="20"/>
  <c r="M25" i="20"/>
  <c r="M68" i="20"/>
  <c r="P189" i="20"/>
  <c r="P24" i="20"/>
  <c r="P60" i="20"/>
  <c r="L193" i="20"/>
  <c r="L69" i="20"/>
  <c r="L81" i="20" s="1"/>
  <c r="L66" i="20"/>
  <c r="L78" i="20" s="1"/>
  <c r="L28" i="20"/>
  <c r="L62" i="20"/>
  <c r="F77" i="20"/>
  <c r="D32" i="20"/>
  <c r="F30" i="22" s="1"/>
  <c r="P192" i="21"/>
  <c r="P65" i="21"/>
  <c r="P77" i="21" s="1"/>
  <c r="P27" i="21"/>
  <c r="P61" i="21"/>
  <c r="L192" i="21"/>
  <c r="L61" i="21"/>
  <c r="L27" i="21"/>
  <c r="L65" i="21"/>
  <c r="L77" i="21" s="1"/>
  <c r="O24" i="21"/>
  <c r="O189" i="21"/>
  <c r="O60" i="21"/>
  <c r="Q192" i="20"/>
  <c r="Q61" i="20"/>
  <c r="Q27" i="20"/>
  <c r="Q65" i="20"/>
  <c r="Q77" i="20" s="1"/>
  <c r="G69" i="21"/>
  <c r="G66" i="21"/>
  <c r="G28" i="21"/>
  <c r="G193" i="21"/>
  <c r="G62" i="21"/>
  <c r="D34" i="21"/>
  <c r="H32" i="22" s="1"/>
  <c r="G32" i="22" s="1"/>
  <c r="H216" i="5"/>
  <c r="H215" i="5"/>
  <c r="P215" i="5"/>
  <c r="P216" i="5"/>
  <c r="P192" i="20"/>
  <c r="P61" i="20"/>
  <c r="P27" i="20"/>
  <c r="P65" i="20"/>
  <c r="P77" i="20" s="1"/>
  <c r="F119" i="21"/>
  <c r="N24" i="20"/>
  <c r="N189" i="20"/>
  <c r="N60" i="20"/>
  <c r="H190" i="21"/>
  <c r="H68" i="21"/>
  <c r="H25" i="21"/>
  <c r="L192" i="20"/>
  <c r="L27" i="20"/>
  <c r="L61" i="20"/>
  <c r="L65" i="20"/>
  <c r="L77" i="20" s="1"/>
  <c r="N192" i="21"/>
  <c r="N61" i="21"/>
  <c r="N27" i="21"/>
  <c r="N65" i="21"/>
  <c r="N77" i="21" s="1"/>
  <c r="M193" i="20"/>
  <c r="M62" i="20"/>
  <c r="M28" i="20"/>
  <c r="M69" i="20"/>
  <c r="M81" i="20" s="1"/>
  <c r="M66" i="20"/>
  <c r="M78" i="20" s="1"/>
  <c r="I190" i="21"/>
  <c r="I25" i="21"/>
  <c r="I68" i="21"/>
  <c r="K191" i="20"/>
  <c r="K26" i="20"/>
  <c r="D26" i="20" s="1"/>
  <c r="F24" i="22" s="1"/>
  <c r="K64" i="20"/>
  <c r="D64" i="20" s="1"/>
  <c r="F65" i="22" s="1"/>
  <c r="G24" i="20"/>
  <c r="D24" i="20" s="1"/>
  <c r="F22" i="22" s="1"/>
  <c r="G60" i="20"/>
  <c r="G189" i="20"/>
  <c r="M190" i="21"/>
  <c r="M25" i="21"/>
  <c r="M68" i="21"/>
  <c r="P189" i="21"/>
  <c r="P24" i="21"/>
  <c r="P60" i="21"/>
  <c r="F110" i="21"/>
  <c r="F121" i="21" s="1"/>
  <c r="L193" i="21"/>
  <c r="L69" i="21"/>
  <c r="L81" i="21" s="1"/>
  <c r="L66" i="21"/>
  <c r="L78" i="21" s="1"/>
  <c r="L62" i="21"/>
  <c r="L28" i="21"/>
  <c r="G193" i="20"/>
  <c r="G62" i="20"/>
  <c r="G28" i="20"/>
  <c r="D28" i="20" s="1"/>
  <c r="F26" i="22" s="1"/>
  <c r="G66" i="20"/>
  <c r="G78" i="20" s="1"/>
  <c r="G69" i="20"/>
  <c r="G81" i="20" s="1"/>
  <c r="D33" i="20"/>
  <c r="F31" i="22" s="1"/>
  <c r="G12" i="8"/>
  <c r="G30" i="5" s="1"/>
  <c r="O12" i="8"/>
  <c r="O30" i="5" s="1"/>
  <c r="I13" i="8"/>
  <c r="I31" i="5" s="1"/>
  <c r="G14" i="8"/>
  <c r="G32" i="5" s="1"/>
  <c r="G64" i="5" s="1"/>
  <c r="G76" i="5" s="1"/>
  <c r="H12" i="8"/>
  <c r="H30" i="5" s="1"/>
  <c r="L12" i="8"/>
  <c r="L30" i="5" s="1"/>
  <c r="P12" i="8"/>
  <c r="P30" i="5" s="1"/>
  <c r="F13" i="8"/>
  <c r="F31" i="5" s="1"/>
  <c r="J13" i="8"/>
  <c r="J31" i="5" s="1"/>
  <c r="N13" i="8"/>
  <c r="N31" i="5" s="1"/>
  <c r="R13" i="8"/>
  <c r="R31" i="5" s="1"/>
  <c r="H14" i="8"/>
  <c r="H32" i="5" s="1"/>
  <c r="H64" i="5" s="1"/>
  <c r="H76" i="5" s="1"/>
  <c r="L14" i="8"/>
  <c r="L32" i="5" s="1"/>
  <c r="L64" i="5" s="1"/>
  <c r="L76" i="5" s="1"/>
  <c r="P14" i="8"/>
  <c r="P32" i="5" s="1"/>
  <c r="P64" i="5" s="1"/>
  <c r="P76" i="5" s="1"/>
  <c r="F15" i="8"/>
  <c r="F33" i="5" s="1"/>
  <c r="F65" i="5" s="1"/>
  <c r="J15" i="8"/>
  <c r="J33" i="5" s="1"/>
  <c r="J65" i="5" s="1"/>
  <c r="J77" i="5" s="1"/>
  <c r="N15" i="8"/>
  <c r="N33" i="5" s="1"/>
  <c r="N65" i="5" s="1"/>
  <c r="N77" i="5" s="1"/>
  <c r="R15" i="8"/>
  <c r="R33" i="5" s="1"/>
  <c r="R65" i="5" s="1"/>
  <c r="R77" i="5" s="1"/>
  <c r="H16" i="8"/>
  <c r="H34" i="5" s="1"/>
  <c r="L16" i="8"/>
  <c r="L34" i="5" s="1"/>
  <c r="P16" i="8"/>
  <c r="P34" i="5" s="1"/>
  <c r="D17" i="8"/>
  <c r="I12" i="8"/>
  <c r="I30" i="5" s="1"/>
  <c r="M12" i="8"/>
  <c r="M30" i="5" s="1"/>
  <c r="Q12" i="8"/>
  <c r="Q30" i="5" s="1"/>
  <c r="G13" i="8"/>
  <c r="G31" i="5" s="1"/>
  <c r="K13" i="8"/>
  <c r="K31" i="5" s="1"/>
  <c r="O13" i="8"/>
  <c r="O31" i="5" s="1"/>
  <c r="S13" i="8"/>
  <c r="S31" i="5" s="1"/>
  <c r="I14" i="8"/>
  <c r="I32" i="5" s="1"/>
  <c r="I64" i="5" s="1"/>
  <c r="I76" i="5" s="1"/>
  <c r="M14" i="8"/>
  <c r="M32" i="5" s="1"/>
  <c r="M64" i="5" s="1"/>
  <c r="M76" i="5" s="1"/>
  <c r="Q14" i="8"/>
  <c r="Q32" i="5" s="1"/>
  <c r="Q64" i="5" s="1"/>
  <c r="Q76" i="5" s="1"/>
  <c r="G15" i="8"/>
  <c r="G33" i="5" s="1"/>
  <c r="G65" i="5" s="1"/>
  <c r="G77" i="5" s="1"/>
  <c r="K15" i="8"/>
  <c r="K33" i="5" s="1"/>
  <c r="K65" i="5" s="1"/>
  <c r="K77" i="5" s="1"/>
  <c r="O15" i="8"/>
  <c r="O33" i="5" s="1"/>
  <c r="O65" i="5" s="1"/>
  <c r="O77" i="5" s="1"/>
  <c r="S15" i="8"/>
  <c r="S33" i="5" s="1"/>
  <c r="S65" i="5" s="1"/>
  <c r="S77" i="5" s="1"/>
  <c r="I16" i="8"/>
  <c r="I34" i="5" s="1"/>
  <c r="M16" i="8"/>
  <c r="M34" i="5" s="1"/>
  <c r="Q16" i="8"/>
  <c r="Q34" i="5" s="1"/>
  <c r="F12" i="8"/>
  <c r="F30" i="5" s="1"/>
  <c r="F189" i="5" s="1"/>
  <c r="J12" i="8"/>
  <c r="J30" i="5" s="1"/>
  <c r="N12" i="8"/>
  <c r="N30" i="5" s="1"/>
  <c r="R12" i="8"/>
  <c r="R30" i="5" s="1"/>
  <c r="H13" i="8"/>
  <c r="H31" i="5" s="1"/>
  <c r="L13" i="8"/>
  <c r="L31" i="5" s="1"/>
  <c r="P13" i="8"/>
  <c r="P31" i="5" s="1"/>
  <c r="F14" i="8"/>
  <c r="F32" i="5" s="1"/>
  <c r="F64" i="5" s="1"/>
  <c r="J14" i="8"/>
  <c r="J32" i="5" s="1"/>
  <c r="J64" i="5" s="1"/>
  <c r="J76" i="5" s="1"/>
  <c r="N14" i="8"/>
  <c r="N32" i="5" s="1"/>
  <c r="N64" i="5" s="1"/>
  <c r="N76" i="5" s="1"/>
  <c r="R14" i="8"/>
  <c r="R32" i="5" s="1"/>
  <c r="R64" i="5" s="1"/>
  <c r="R76" i="5" s="1"/>
  <c r="H15" i="8"/>
  <c r="H33" i="5" s="1"/>
  <c r="H65" i="5" s="1"/>
  <c r="H77" i="5" s="1"/>
  <c r="L15" i="8"/>
  <c r="L33" i="5" s="1"/>
  <c r="L65" i="5" s="1"/>
  <c r="L77" i="5" s="1"/>
  <c r="P15" i="8"/>
  <c r="P33" i="5" s="1"/>
  <c r="P65" i="5" s="1"/>
  <c r="P77" i="5" s="1"/>
  <c r="F16" i="8"/>
  <c r="F34" i="5" s="1"/>
  <c r="J16" i="8"/>
  <c r="J34" i="5" s="1"/>
  <c r="N16" i="8"/>
  <c r="N34" i="5" s="1"/>
  <c r="R16" i="8"/>
  <c r="R34" i="5" s="1"/>
  <c r="K12" i="8"/>
  <c r="K30" i="5" s="1"/>
  <c r="S12" i="8"/>
  <c r="S30" i="5" s="1"/>
  <c r="M13" i="8"/>
  <c r="M31" i="5" s="1"/>
  <c r="Q13" i="8"/>
  <c r="Q31" i="5" s="1"/>
  <c r="K14" i="8"/>
  <c r="K32" i="5" s="1"/>
  <c r="K64" i="5" s="1"/>
  <c r="K76" i="5" s="1"/>
  <c r="O14" i="8"/>
  <c r="O32" i="5" s="1"/>
  <c r="O64" i="5" s="1"/>
  <c r="O76" i="5" s="1"/>
  <c r="S14" i="8"/>
  <c r="S32" i="5" s="1"/>
  <c r="S64" i="5" s="1"/>
  <c r="S76" i="5" s="1"/>
  <c r="I15" i="8"/>
  <c r="I33" i="5" s="1"/>
  <c r="I65" i="5" s="1"/>
  <c r="I77" i="5" s="1"/>
  <c r="M15" i="8"/>
  <c r="M33" i="5" s="1"/>
  <c r="M65" i="5" s="1"/>
  <c r="M77" i="5" s="1"/>
  <c r="Q15" i="8"/>
  <c r="Q33" i="5" s="1"/>
  <c r="Q65" i="5" s="1"/>
  <c r="Q77" i="5" s="1"/>
  <c r="G16" i="8"/>
  <c r="G34" i="5" s="1"/>
  <c r="K16" i="8"/>
  <c r="K34" i="5" s="1"/>
  <c r="O16" i="8"/>
  <c r="O34" i="5" s="1"/>
  <c r="S16" i="8"/>
  <c r="S34" i="5" s="1"/>
  <c r="F118" i="21" l="1"/>
  <c r="E65" i="22"/>
  <c r="F113" i="20"/>
  <c r="J90" i="21"/>
  <c r="J115" i="21" s="1"/>
  <c r="J73" i="21"/>
  <c r="L66" i="5"/>
  <c r="L78" i="5" s="1"/>
  <c r="L69" i="5"/>
  <c r="M89" i="21"/>
  <c r="M114" i="21" s="1"/>
  <c r="M80" i="21"/>
  <c r="D65" i="20"/>
  <c r="F66" i="22" s="1"/>
  <c r="I89" i="20"/>
  <c r="I114" i="20" s="1"/>
  <c r="I80" i="20"/>
  <c r="N90" i="20"/>
  <c r="N115" i="20" s="1"/>
  <c r="N73" i="20"/>
  <c r="Q76" i="21"/>
  <c r="Q88" i="21"/>
  <c r="Q113" i="21" s="1"/>
  <c r="I91" i="20"/>
  <c r="I116" i="20" s="1"/>
  <c r="I74" i="20"/>
  <c r="D74" i="20" s="1"/>
  <c r="F75" i="22" s="1"/>
  <c r="Q88" i="20"/>
  <c r="Q113" i="20" s="1"/>
  <c r="Q76" i="20"/>
  <c r="G90" i="21"/>
  <c r="G73" i="21"/>
  <c r="D61" i="21"/>
  <c r="H62" i="22" s="1"/>
  <c r="G62" i="22" s="1"/>
  <c r="J91" i="21"/>
  <c r="J116" i="21" s="1"/>
  <c r="J74" i="21"/>
  <c r="P80" i="20"/>
  <c r="P89" i="20"/>
  <c r="P114" i="20" s="1"/>
  <c r="L91" i="20"/>
  <c r="L116" i="20" s="1"/>
  <c r="L74" i="20"/>
  <c r="N87" i="21"/>
  <c r="N112" i="21" s="1"/>
  <c r="N72" i="21"/>
  <c r="O80" i="20"/>
  <c r="O89" i="20"/>
  <c r="O114" i="20" s="1"/>
  <c r="N88" i="20"/>
  <c r="N113" i="20" s="1"/>
  <c r="N76" i="20"/>
  <c r="D192" i="21"/>
  <c r="H193" i="22" s="1"/>
  <c r="G193" i="22" s="1"/>
  <c r="H66" i="5"/>
  <c r="H78" i="5" s="1"/>
  <c r="H69" i="5"/>
  <c r="G74" i="20"/>
  <c r="G91" i="20"/>
  <c r="G116" i="20" s="1"/>
  <c r="I89" i="21"/>
  <c r="I114" i="21" s="1"/>
  <c r="I80" i="21"/>
  <c r="L90" i="21"/>
  <c r="L115" i="21" s="1"/>
  <c r="L73" i="21"/>
  <c r="D77" i="20"/>
  <c r="F78" i="22" s="1"/>
  <c r="D25" i="21"/>
  <c r="H23" i="22" s="1"/>
  <c r="G23" i="22" s="1"/>
  <c r="G90" i="20"/>
  <c r="G73" i="20"/>
  <c r="I91" i="21"/>
  <c r="I116" i="21" s="1"/>
  <c r="I74" i="21"/>
  <c r="I90" i="20"/>
  <c r="I115" i="20" s="1"/>
  <c r="I73" i="20"/>
  <c r="Q89" i="21"/>
  <c r="Q114" i="21" s="1"/>
  <c r="Q80" i="21"/>
  <c r="O88" i="20"/>
  <c r="O113" i="20" s="1"/>
  <c r="O76" i="20"/>
  <c r="Q91" i="21"/>
  <c r="Q116" i="21" s="1"/>
  <c r="Q74" i="21"/>
  <c r="P76" i="20"/>
  <c r="P88" i="20"/>
  <c r="P113" i="20" s="1"/>
  <c r="L87" i="20"/>
  <c r="L112" i="20" s="1"/>
  <c r="L72" i="20"/>
  <c r="K87" i="21"/>
  <c r="K112" i="21" s="1"/>
  <c r="K72" i="21"/>
  <c r="Q73" i="21"/>
  <c r="Q90" i="21"/>
  <c r="Q115" i="21" s="1"/>
  <c r="I73" i="21"/>
  <c r="I90" i="21"/>
  <c r="I115" i="21" s="1"/>
  <c r="P76" i="21"/>
  <c r="P88" i="21"/>
  <c r="P113" i="21" s="1"/>
  <c r="O90" i="21"/>
  <c r="O115" i="21" s="1"/>
  <c r="O73" i="21"/>
  <c r="H89" i="21"/>
  <c r="H114" i="21" s="1"/>
  <c r="H80" i="21"/>
  <c r="Q90" i="20"/>
  <c r="Q115" i="20" s="1"/>
  <c r="Q73" i="20"/>
  <c r="K91" i="21"/>
  <c r="K116" i="21" s="1"/>
  <c r="K74" i="21"/>
  <c r="I88" i="21"/>
  <c r="I113" i="21" s="1"/>
  <c r="I76" i="21"/>
  <c r="G89" i="21"/>
  <c r="G80" i="21"/>
  <c r="D68" i="21"/>
  <c r="H69" i="22" s="1"/>
  <c r="G69" i="22" s="1"/>
  <c r="J76" i="21"/>
  <c r="J88" i="21"/>
  <c r="J113" i="21" s="1"/>
  <c r="I88" i="20"/>
  <c r="I113" i="20" s="1"/>
  <c r="I76" i="20"/>
  <c r="G88" i="20"/>
  <c r="G113" i="20" s="1"/>
  <c r="D113" i="20" s="1"/>
  <c r="G76" i="20"/>
  <c r="D76" i="20" s="1"/>
  <c r="F77" i="22" s="1"/>
  <c r="O90" i="20"/>
  <c r="O115" i="20" s="1"/>
  <c r="O73" i="20"/>
  <c r="M90" i="20"/>
  <c r="M115" i="20" s="1"/>
  <c r="M73" i="20"/>
  <c r="J88" i="20"/>
  <c r="J113" i="20" s="1"/>
  <c r="J76" i="20"/>
  <c r="K90" i="21"/>
  <c r="K115" i="21" s="1"/>
  <c r="K73" i="21"/>
  <c r="D61" i="20"/>
  <c r="F62" i="22" s="1"/>
  <c r="L88" i="21"/>
  <c r="L113" i="21" s="1"/>
  <c r="L76" i="21"/>
  <c r="D193" i="20"/>
  <c r="F194" i="22" s="1"/>
  <c r="L88" i="20"/>
  <c r="L113" i="20" s="1"/>
  <c r="L76" i="20"/>
  <c r="D62" i="20"/>
  <c r="F63" i="22" s="1"/>
  <c r="K69" i="5"/>
  <c r="K66" i="5"/>
  <c r="K78" i="5" s="1"/>
  <c r="P66" i="5"/>
  <c r="P78" i="5" s="1"/>
  <c r="P69" i="5"/>
  <c r="M74" i="20"/>
  <c r="M91" i="20"/>
  <c r="M116" i="20" s="1"/>
  <c r="M88" i="21"/>
  <c r="M113" i="21" s="1"/>
  <c r="M76" i="21"/>
  <c r="R66" i="5"/>
  <c r="R78" i="5" s="1"/>
  <c r="R69" i="5"/>
  <c r="F123" i="21"/>
  <c r="F111" i="21"/>
  <c r="N90" i="21"/>
  <c r="N115" i="21" s="1"/>
  <c r="N73" i="21"/>
  <c r="P90" i="20"/>
  <c r="P115" i="20" s="1"/>
  <c r="P73" i="20"/>
  <c r="G91" i="21"/>
  <c r="G74" i="21"/>
  <c r="D62" i="21"/>
  <c r="H63" i="22" s="1"/>
  <c r="P90" i="21"/>
  <c r="P115" i="21" s="1"/>
  <c r="P73" i="21"/>
  <c r="F120" i="21"/>
  <c r="G87" i="21"/>
  <c r="G72" i="21"/>
  <c r="D60" i="21"/>
  <c r="H61" i="22" s="1"/>
  <c r="G61" i="22" s="1"/>
  <c r="H89" i="20"/>
  <c r="H114" i="20" s="1"/>
  <c r="H80" i="20"/>
  <c r="N74" i="20"/>
  <c r="N91" i="20"/>
  <c r="N116" i="20" s="1"/>
  <c r="D190" i="21"/>
  <c r="H191" i="22" s="1"/>
  <c r="G191" i="22" s="1"/>
  <c r="F114" i="20"/>
  <c r="O88" i="21"/>
  <c r="O113" i="21" s="1"/>
  <c r="O76" i="21"/>
  <c r="M90" i="21"/>
  <c r="M115" i="21" s="1"/>
  <c r="M73" i="21"/>
  <c r="H88" i="20"/>
  <c r="H113" i="20" s="1"/>
  <c r="H76" i="20"/>
  <c r="H91" i="21"/>
  <c r="H74" i="21"/>
  <c r="H90" i="21"/>
  <c r="H73" i="21"/>
  <c r="K72" i="20"/>
  <c r="K87" i="20"/>
  <c r="K112" i="20" s="1"/>
  <c r="G30" i="22"/>
  <c r="F115" i="20"/>
  <c r="G80" i="20"/>
  <c r="D80" i="20" s="1"/>
  <c r="F81" i="22" s="1"/>
  <c r="G89" i="20"/>
  <c r="G114" i="20" s="1"/>
  <c r="F116" i="20"/>
  <c r="I69" i="5"/>
  <c r="I66" i="5"/>
  <c r="I78" i="5" s="1"/>
  <c r="Q89" i="20"/>
  <c r="Q114" i="20" s="1"/>
  <c r="Q80" i="20"/>
  <c r="N66" i="5"/>
  <c r="N78" i="5" s="1"/>
  <c r="N69" i="5"/>
  <c r="G72" i="20"/>
  <c r="G87" i="20"/>
  <c r="G112" i="20" s="1"/>
  <c r="N87" i="20"/>
  <c r="N112" i="20" s="1"/>
  <c r="N72" i="20"/>
  <c r="D193" i="21"/>
  <c r="H194" i="22" s="1"/>
  <c r="G194" i="22" s="1"/>
  <c r="O87" i="21"/>
  <c r="O112" i="21" s="1"/>
  <c r="O72" i="21"/>
  <c r="D189" i="20"/>
  <c r="F190" i="22" s="1"/>
  <c r="P87" i="20"/>
  <c r="P112" i="20" s="1"/>
  <c r="P72" i="20"/>
  <c r="D189" i="21"/>
  <c r="H190" i="22" s="1"/>
  <c r="H88" i="21"/>
  <c r="H113" i="21" s="1"/>
  <c r="H76" i="21"/>
  <c r="K74" i="20"/>
  <c r="K91" i="20"/>
  <c r="K116" i="20" s="1"/>
  <c r="J80" i="20"/>
  <c r="J89" i="20"/>
  <c r="J114" i="20" s="1"/>
  <c r="F122" i="21"/>
  <c r="G31" i="22"/>
  <c r="D26" i="21"/>
  <c r="H24" i="22" s="1"/>
  <c r="G24" i="22" s="1"/>
  <c r="K90" i="20"/>
  <c r="K115" i="20" s="1"/>
  <c r="K73" i="20"/>
  <c r="P89" i="21"/>
  <c r="P114" i="21" s="1"/>
  <c r="P80" i="21"/>
  <c r="H90" i="20"/>
  <c r="H115" i="20" s="1"/>
  <c r="H73" i="20"/>
  <c r="O91" i="21"/>
  <c r="O116" i="21" s="1"/>
  <c r="O74" i="21"/>
  <c r="M87" i="20"/>
  <c r="M112" i="20" s="1"/>
  <c r="M72" i="20"/>
  <c r="J91" i="20"/>
  <c r="J116" i="20" s="1"/>
  <c r="J74" i="20"/>
  <c r="O87" i="20"/>
  <c r="O112" i="20" s="1"/>
  <c r="O72" i="20"/>
  <c r="J80" i="21"/>
  <c r="J89" i="21"/>
  <c r="J114" i="21" s="1"/>
  <c r="L89" i="20"/>
  <c r="L114" i="20" s="1"/>
  <c r="L80" i="20"/>
  <c r="K88" i="21"/>
  <c r="K113" i="21" s="1"/>
  <c r="K76" i="21"/>
  <c r="O89" i="21"/>
  <c r="O114" i="21" s="1"/>
  <c r="O80" i="21"/>
  <c r="G69" i="5"/>
  <c r="G66" i="5"/>
  <c r="G78" i="5" s="1"/>
  <c r="S69" i="5"/>
  <c r="S66" i="5"/>
  <c r="S78" i="5" s="1"/>
  <c r="D64" i="5"/>
  <c r="D65" i="22" s="1"/>
  <c r="Q66" i="5"/>
  <c r="Q78" i="5" s="1"/>
  <c r="Q69" i="5"/>
  <c r="D65" i="5"/>
  <c r="D66" i="22" s="1"/>
  <c r="P87" i="21"/>
  <c r="P112" i="21" s="1"/>
  <c r="P72" i="21"/>
  <c r="D28" i="21"/>
  <c r="H26" i="22" s="1"/>
  <c r="G26" i="22" s="1"/>
  <c r="D24" i="21"/>
  <c r="H22" i="22" s="1"/>
  <c r="G22" i="22" s="1"/>
  <c r="M87" i="21"/>
  <c r="M112" i="21" s="1"/>
  <c r="M72" i="21"/>
  <c r="R110" i="20"/>
  <c r="R119" i="20" s="1"/>
  <c r="R118" i="20"/>
  <c r="M91" i="21"/>
  <c r="M116" i="21" s="1"/>
  <c r="M74" i="21"/>
  <c r="G77" i="21"/>
  <c r="D77" i="21" s="1"/>
  <c r="H78" i="22" s="1"/>
  <c r="G78" i="22" s="1"/>
  <c r="D65" i="21"/>
  <c r="H66" i="22" s="1"/>
  <c r="G66" i="22" s="1"/>
  <c r="G88" i="21"/>
  <c r="G76" i="21"/>
  <c r="D76" i="21" s="1"/>
  <c r="H77" i="22" s="1"/>
  <c r="D64" i="21"/>
  <c r="H65" i="22" s="1"/>
  <c r="G65" i="22" s="1"/>
  <c r="H91" i="20"/>
  <c r="H116" i="20" s="1"/>
  <c r="H74" i="20"/>
  <c r="I87" i="21"/>
  <c r="I112" i="21" s="1"/>
  <c r="I72" i="21"/>
  <c r="O74" i="20"/>
  <c r="O91" i="20"/>
  <c r="O116" i="20" s="1"/>
  <c r="J87" i="21"/>
  <c r="J112" i="21" s="1"/>
  <c r="J72" i="21"/>
  <c r="G81" i="21"/>
  <c r="D81" i="21" s="1"/>
  <c r="H82" i="22" s="1"/>
  <c r="D69" i="21"/>
  <c r="H70" i="22" s="1"/>
  <c r="M89" i="20"/>
  <c r="M114" i="20" s="1"/>
  <c r="M80" i="20"/>
  <c r="K80" i="21"/>
  <c r="K89" i="21"/>
  <c r="K114" i="21" s="1"/>
  <c r="D69" i="20"/>
  <c r="F70" i="22" s="1"/>
  <c r="H87" i="21"/>
  <c r="H112" i="21" s="1"/>
  <c r="H72" i="21"/>
  <c r="N91" i="21"/>
  <c r="N116" i="21" s="1"/>
  <c r="N74" i="21"/>
  <c r="J66" i="5"/>
  <c r="J78" i="5" s="1"/>
  <c r="J69" i="5"/>
  <c r="O69" i="5"/>
  <c r="O66" i="5"/>
  <c r="O78" i="5" s="1"/>
  <c r="F69" i="5"/>
  <c r="F66" i="5"/>
  <c r="M66" i="5"/>
  <c r="M78" i="5" s="1"/>
  <c r="M69" i="5"/>
  <c r="L91" i="21"/>
  <c r="L116" i="21" s="1"/>
  <c r="L74" i="21"/>
  <c r="K88" i="20"/>
  <c r="K113" i="20" s="1"/>
  <c r="K76" i="20"/>
  <c r="L90" i="20"/>
  <c r="L115" i="20" s="1"/>
  <c r="L73" i="20"/>
  <c r="G78" i="21"/>
  <c r="D78" i="21" s="1"/>
  <c r="H79" i="22" s="1"/>
  <c r="G79" i="22" s="1"/>
  <c r="D66" i="21"/>
  <c r="H67" i="22" s="1"/>
  <c r="G67" i="22" s="1"/>
  <c r="J87" i="20"/>
  <c r="J112" i="20" s="1"/>
  <c r="J72" i="20"/>
  <c r="L89" i="21"/>
  <c r="L114" i="21" s="1"/>
  <c r="L80" i="21"/>
  <c r="F112" i="20"/>
  <c r="K80" i="20"/>
  <c r="K89" i="20"/>
  <c r="K114" i="20" s="1"/>
  <c r="D81" i="20"/>
  <c r="F82" i="22" s="1"/>
  <c r="J90" i="20"/>
  <c r="J115" i="20" s="1"/>
  <c r="J73" i="20"/>
  <c r="D27" i="21"/>
  <c r="H25" i="22" s="1"/>
  <c r="G25" i="22" s="1"/>
  <c r="D191" i="21"/>
  <c r="H192" i="22" s="1"/>
  <c r="G192" i="22" s="1"/>
  <c r="L87" i="21"/>
  <c r="L112" i="21" s="1"/>
  <c r="L72" i="21"/>
  <c r="Q91" i="20"/>
  <c r="Q116" i="20" s="1"/>
  <c r="Q74" i="20"/>
  <c r="N88" i="21"/>
  <c r="N113" i="21" s="1"/>
  <c r="N76" i="21"/>
  <c r="Q87" i="20"/>
  <c r="Q112" i="20" s="1"/>
  <c r="Q72" i="20"/>
  <c r="I87" i="20"/>
  <c r="I112" i="20" s="1"/>
  <c r="I72" i="20"/>
  <c r="D66" i="20"/>
  <c r="F67" i="22" s="1"/>
  <c r="H87" i="20"/>
  <c r="H112" i="20" s="1"/>
  <c r="H72" i="20"/>
  <c r="D72" i="20" s="1"/>
  <c r="F73" i="22" s="1"/>
  <c r="Q87" i="21"/>
  <c r="Q112" i="21" s="1"/>
  <c r="Q72" i="21"/>
  <c r="M88" i="20"/>
  <c r="M113" i="20" s="1"/>
  <c r="M76" i="20"/>
  <c r="D236" i="5"/>
  <c r="D237" i="22" s="1"/>
  <c r="E237" i="22" s="1"/>
  <c r="L235" i="5"/>
  <c r="L230" i="5" s="1"/>
  <c r="K235" i="5"/>
  <c r="K230" i="5" s="1"/>
  <c r="J235" i="5"/>
  <c r="J230" i="5" s="1"/>
  <c r="I235" i="5"/>
  <c r="I230" i="5" s="1"/>
  <c r="H235" i="5"/>
  <c r="H230" i="5" s="1"/>
  <c r="D221" i="5"/>
  <c r="D222" i="22" s="1"/>
  <c r="E222" i="22" s="1"/>
  <c r="D219" i="5"/>
  <c r="D220" i="22" s="1"/>
  <c r="E220" i="22" s="1"/>
  <c r="B202" i="5"/>
  <c r="G199" i="5"/>
  <c r="H199" i="5" s="1"/>
  <c r="I199" i="5" s="1"/>
  <c r="J199" i="5" s="1"/>
  <c r="K199" i="5" s="1"/>
  <c r="L199" i="5" s="1"/>
  <c r="M199" i="5" s="1"/>
  <c r="N199" i="5" s="1"/>
  <c r="O199" i="5" s="1"/>
  <c r="P199" i="5" s="1"/>
  <c r="Q199" i="5" s="1"/>
  <c r="R199" i="5" s="1"/>
  <c r="S199" i="5" s="1"/>
  <c r="F198" i="5"/>
  <c r="G197" i="5"/>
  <c r="H197" i="5" s="1"/>
  <c r="I197" i="5" s="1"/>
  <c r="J197" i="5" s="1"/>
  <c r="K197" i="5" s="1"/>
  <c r="L197" i="5" s="1"/>
  <c r="M197" i="5" s="1"/>
  <c r="N197" i="5" s="1"/>
  <c r="O197" i="5" s="1"/>
  <c r="P197" i="5" s="1"/>
  <c r="Q197" i="5" s="1"/>
  <c r="R197" i="5" s="1"/>
  <c r="S197" i="5" s="1"/>
  <c r="F195" i="5"/>
  <c r="F183" i="5" s="1"/>
  <c r="G85" i="5"/>
  <c r="H85" i="5" s="1"/>
  <c r="I85" i="5" s="1"/>
  <c r="J85" i="5" s="1"/>
  <c r="K85" i="5" s="1"/>
  <c r="L85" i="5" s="1"/>
  <c r="M85" i="5" s="1"/>
  <c r="N85" i="5" s="1"/>
  <c r="O85" i="5" s="1"/>
  <c r="P85" i="5" s="1"/>
  <c r="Q85" i="5" s="1"/>
  <c r="R85" i="5" s="1"/>
  <c r="S85" i="5" s="1"/>
  <c r="F85" i="5"/>
  <c r="G84" i="5"/>
  <c r="F84" i="5"/>
  <c r="F88" i="5" s="1"/>
  <c r="G83" i="5"/>
  <c r="H83" i="5" s="1"/>
  <c r="I83" i="5" s="1"/>
  <c r="J83" i="5" s="1"/>
  <c r="K83" i="5" s="1"/>
  <c r="L83" i="5" s="1"/>
  <c r="M83" i="5" s="1"/>
  <c r="N83" i="5" s="1"/>
  <c r="O83" i="5" s="1"/>
  <c r="P83" i="5" s="1"/>
  <c r="Q83" i="5" s="1"/>
  <c r="R83" i="5" s="1"/>
  <c r="S83" i="5" s="1"/>
  <c r="F83" i="5"/>
  <c r="G191" i="5"/>
  <c r="G185" i="5" s="1"/>
  <c r="S191" i="5"/>
  <c r="R191" i="5"/>
  <c r="P191" i="5"/>
  <c r="O191" i="5"/>
  <c r="N191" i="5"/>
  <c r="L191" i="5"/>
  <c r="K191" i="5"/>
  <c r="H191" i="5"/>
  <c r="H185" i="5" s="1"/>
  <c r="N24" i="5"/>
  <c r="S28" i="5"/>
  <c r="G6" i="5"/>
  <c r="H6" i="5" s="1"/>
  <c r="I6" i="5" s="1"/>
  <c r="J6" i="5" s="1"/>
  <c r="K6" i="5" s="1"/>
  <c r="L6" i="5" s="1"/>
  <c r="M6" i="5" s="1"/>
  <c r="N6" i="5" s="1"/>
  <c r="O6" i="5" s="1"/>
  <c r="P6" i="5" s="1"/>
  <c r="Q6" i="5" s="1"/>
  <c r="R6" i="5" s="1"/>
  <c r="S6" i="5" s="1"/>
  <c r="D248" i="5" s="1"/>
  <c r="D249" i="22" s="1"/>
  <c r="E249" i="22" s="1"/>
  <c r="F114" i="22" l="1"/>
  <c r="G77" i="22"/>
  <c r="P110" i="20"/>
  <c r="P118" i="20"/>
  <c r="D72" i="21"/>
  <c r="H73" i="22" s="1"/>
  <c r="G73" i="22" s="1"/>
  <c r="J120" i="21"/>
  <c r="M110" i="20"/>
  <c r="M119" i="20" s="1"/>
  <c r="G114" i="21"/>
  <c r="D114" i="21" s="1"/>
  <c r="D89" i="21"/>
  <c r="H90" i="22" s="1"/>
  <c r="P119" i="20"/>
  <c r="P120" i="20"/>
  <c r="G115" i="21"/>
  <c r="D90" i="21"/>
  <c r="H91" i="22" s="1"/>
  <c r="N110" i="20"/>
  <c r="N122" i="20" s="1"/>
  <c r="D74" i="21"/>
  <c r="H75" i="22" s="1"/>
  <c r="G75" i="22" s="1"/>
  <c r="L110" i="20"/>
  <c r="L118" i="20" s="1"/>
  <c r="Q110" i="21"/>
  <c r="Q120" i="21" s="1"/>
  <c r="Q110" i="20"/>
  <c r="Q118" i="20" s="1"/>
  <c r="N122" i="21"/>
  <c r="J110" i="21"/>
  <c r="J118" i="21"/>
  <c r="I110" i="21"/>
  <c r="I118" i="21"/>
  <c r="O110" i="21"/>
  <c r="O118" i="21" s="1"/>
  <c r="H115" i="21"/>
  <c r="H110" i="21" s="1"/>
  <c r="P121" i="20"/>
  <c r="D88" i="20"/>
  <c r="F89" i="22" s="1"/>
  <c r="I110" i="20"/>
  <c r="I122" i="20" s="1"/>
  <c r="I118" i="20"/>
  <c r="J110" i="20"/>
  <c r="J118" i="20" s="1"/>
  <c r="K119" i="21"/>
  <c r="O122" i="21"/>
  <c r="J119" i="21"/>
  <c r="I122" i="21"/>
  <c r="G112" i="21"/>
  <c r="D87" i="21"/>
  <c r="H88" i="22" s="1"/>
  <c r="D80" i="21"/>
  <c r="H81" i="22" s="1"/>
  <c r="G81" i="22" s="1"/>
  <c r="D66" i="5"/>
  <c r="D67" i="22" s="1"/>
  <c r="E67" i="22" s="1"/>
  <c r="H110" i="20"/>
  <c r="H118" i="20" s="1"/>
  <c r="L121" i="20"/>
  <c r="D69" i="5"/>
  <c r="D70" i="22" s="1"/>
  <c r="G70" i="22"/>
  <c r="R120" i="20"/>
  <c r="R123" i="20"/>
  <c r="R111" i="20"/>
  <c r="O110" i="20"/>
  <c r="O118" i="20" s="1"/>
  <c r="D73" i="20"/>
  <c r="F74" i="22" s="1"/>
  <c r="G190" i="22"/>
  <c r="D90" i="20"/>
  <c r="F91" i="22" s="1"/>
  <c r="H116" i="21"/>
  <c r="I119" i="21"/>
  <c r="I121" i="21"/>
  <c r="K110" i="21"/>
  <c r="K120" i="21" s="1"/>
  <c r="K110" i="20"/>
  <c r="K121" i="20" s="1"/>
  <c r="L122" i="20"/>
  <c r="Q122" i="21"/>
  <c r="D73" i="21"/>
  <c r="H74" i="22" s="1"/>
  <c r="D87" i="20"/>
  <c r="F88" i="22" s="1"/>
  <c r="E70" i="22"/>
  <c r="G82" i="22"/>
  <c r="P110" i="21"/>
  <c r="P118" i="21" s="1"/>
  <c r="D116" i="20"/>
  <c r="D89" i="20"/>
  <c r="F90" i="22" s="1"/>
  <c r="N121" i="21"/>
  <c r="R122" i="20"/>
  <c r="G115" i="20"/>
  <c r="G110" i="20" s="1"/>
  <c r="N110" i="21"/>
  <c r="N119" i="21" s="1"/>
  <c r="Q119" i="20"/>
  <c r="I120" i="20"/>
  <c r="L110" i="21"/>
  <c r="L118" i="21" s="1"/>
  <c r="G113" i="21"/>
  <c r="D88" i="21"/>
  <c r="H89" i="22" s="1"/>
  <c r="G89" i="22" s="1"/>
  <c r="G116" i="21"/>
  <c r="D91" i="21"/>
  <c r="H92" i="22" s="1"/>
  <c r="N185" i="5"/>
  <c r="Q122" i="20"/>
  <c r="J121" i="20"/>
  <c r="D112" i="20"/>
  <c r="F110" i="20"/>
  <c r="M110" i="21"/>
  <c r="M118" i="21" s="1"/>
  <c r="D91" i="20"/>
  <c r="F92" i="22" s="1"/>
  <c r="D114" i="20"/>
  <c r="G63" i="22"/>
  <c r="L119" i="20"/>
  <c r="K121" i="21"/>
  <c r="J122" i="21"/>
  <c r="R121" i="20"/>
  <c r="E66" i="22"/>
  <c r="O185" i="5"/>
  <c r="L185" i="5"/>
  <c r="R185" i="5"/>
  <c r="S185" i="5"/>
  <c r="K185" i="5"/>
  <c r="P185" i="5"/>
  <c r="F113" i="5"/>
  <c r="G206" i="5"/>
  <c r="G207" i="5" s="1"/>
  <c r="K206" i="5"/>
  <c r="K207" i="5" s="1"/>
  <c r="O206" i="5"/>
  <c r="O207" i="5" s="1"/>
  <c r="S206" i="5"/>
  <c r="S207" i="5" s="1"/>
  <c r="H84" i="5"/>
  <c r="G88" i="5"/>
  <c r="I206" i="5"/>
  <c r="M206" i="5"/>
  <c r="M207" i="5" s="1"/>
  <c r="Q206" i="5"/>
  <c r="D234" i="5"/>
  <c r="D235" i="22" s="1"/>
  <c r="E235" i="22" s="1"/>
  <c r="J191" i="5"/>
  <c r="J185" i="5" s="1"/>
  <c r="D208" i="5"/>
  <c r="D209" i="22" s="1"/>
  <c r="J206" i="5"/>
  <c r="J207" i="5" s="1"/>
  <c r="N206" i="5"/>
  <c r="R206" i="5"/>
  <c r="R207" i="5" s="1"/>
  <c r="H206" i="5"/>
  <c r="H207" i="5" s="1"/>
  <c r="D235" i="5"/>
  <c r="D236" i="22" s="1"/>
  <c r="E236" i="22" s="1"/>
  <c r="G24" i="5"/>
  <c r="M25" i="5"/>
  <c r="D107" i="5"/>
  <c r="D108" i="22" s="1"/>
  <c r="E108" i="22" s="1"/>
  <c r="G198" i="5"/>
  <c r="H198" i="5" s="1"/>
  <c r="I198" i="5" s="1"/>
  <c r="J198" i="5" s="1"/>
  <c r="K198" i="5" s="1"/>
  <c r="L198" i="5" s="1"/>
  <c r="M198" i="5" s="1"/>
  <c r="N198" i="5" s="1"/>
  <c r="O198" i="5" s="1"/>
  <c r="P198" i="5" s="1"/>
  <c r="Q198" i="5" s="1"/>
  <c r="R198" i="5" s="1"/>
  <c r="S198" i="5" s="1"/>
  <c r="D98" i="5"/>
  <c r="Q25" i="5"/>
  <c r="G195" i="5"/>
  <c r="H195" i="5" s="1"/>
  <c r="I195" i="5" s="1"/>
  <c r="J195" i="5" s="1"/>
  <c r="K195" i="5" s="1"/>
  <c r="L195" i="5" s="1"/>
  <c r="M195" i="5" s="1"/>
  <c r="N195" i="5" s="1"/>
  <c r="O195" i="5" s="1"/>
  <c r="P195" i="5" s="1"/>
  <c r="Q195" i="5" s="1"/>
  <c r="R195" i="5" s="1"/>
  <c r="S195" i="5" s="1"/>
  <c r="F197" i="5"/>
  <c r="D103" i="5"/>
  <c r="D104" i="22" s="1"/>
  <c r="E104" i="22" s="1"/>
  <c r="D105" i="5"/>
  <c r="D106" i="22" s="1"/>
  <c r="E106" i="22" s="1"/>
  <c r="D203" i="5"/>
  <c r="D204" i="22" s="1"/>
  <c r="F61" i="5"/>
  <c r="L206" i="5"/>
  <c r="L207" i="5" s="1"/>
  <c r="P206" i="5"/>
  <c r="P207" i="5" s="1"/>
  <c r="D31" i="5"/>
  <c r="D29" i="22" s="1"/>
  <c r="E29" i="22" s="1"/>
  <c r="S25" i="5"/>
  <c r="L27" i="5"/>
  <c r="M28" i="5"/>
  <c r="G61" i="5"/>
  <c r="D109" i="5"/>
  <c r="D110" i="22" s="1"/>
  <c r="E110" i="22" s="1"/>
  <c r="D128" i="5"/>
  <c r="D129" i="22" s="1"/>
  <c r="D202" i="5"/>
  <c r="D203" i="22" s="1"/>
  <c r="D209" i="5"/>
  <c r="D210" i="22" s="1"/>
  <c r="E210" i="22" s="1"/>
  <c r="D210" i="5"/>
  <c r="D211" i="22" s="1"/>
  <c r="D213" i="5"/>
  <c r="D214" i="22" s="1"/>
  <c r="K25" i="5"/>
  <c r="Q24" i="5"/>
  <c r="F199" i="5"/>
  <c r="H27" i="5"/>
  <c r="G193" i="5"/>
  <c r="G187" i="5" s="1"/>
  <c r="D108" i="5"/>
  <c r="D109" i="22" s="1"/>
  <c r="E109" i="22" s="1"/>
  <c r="Q27" i="5"/>
  <c r="D30" i="5"/>
  <c r="D28" i="22" s="1"/>
  <c r="E28" i="22" s="1"/>
  <c r="H28" i="5"/>
  <c r="R24" i="5"/>
  <c r="H190" i="5"/>
  <c r="H68" i="5"/>
  <c r="H25" i="5"/>
  <c r="H24" i="5"/>
  <c r="J192" i="5"/>
  <c r="J61" i="5"/>
  <c r="N26" i="5"/>
  <c r="R26" i="5"/>
  <c r="L189" i="5"/>
  <c r="L60" i="5"/>
  <c r="L24" i="5"/>
  <c r="P189" i="5"/>
  <c r="P60" i="5"/>
  <c r="P24" i="5"/>
  <c r="N192" i="5"/>
  <c r="N61" i="5"/>
  <c r="N27" i="5"/>
  <c r="R192" i="5"/>
  <c r="R61" i="5"/>
  <c r="R27" i="5"/>
  <c r="L193" i="5"/>
  <c r="L187" i="5" s="1"/>
  <c r="L62" i="5"/>
  <c r="L28" i="5"/>
  <c r="P193" i="5"/>
  <c r="P187" i="5" s="1"/>
  <c r="P62" i="5"/>
  <c r="P28" i="5"/>
  <c r="P45" i="5"/>
  <c r="P81" i="5" s="1"/>
  <c r="P43" i="5"/>
  <c r="P156" i="5" s="1"/>
  <c r="D33" i="5"/>
  <c r="D31" i="22" s="1"/>
  <c r="E31" i="22" s="1"/>
  <c r="I191" i="5"/>
  <c r="I185" i="5" s="1"/>
  <c r="M191" i="5"/>
  <c r="M185" i="5" s="1"/>
  <c r="M26" i="5"/>
  <c r="Q191" i="5"/>
  <c r="Q185" i="5" s="1"/>
  <c r="Q26" i="5"/>
  <c r="K192" i="5"/>
  <c r="K61" i="5"/>
  <c r="K27" i="5"/>
  <c r="O192" i="5"/>
  <c r="O61" i="5"/>
  <c r="O27" i="5"/>
  <c r="S192" i="5"/>
  <c r="S61" i="5"/>
  <c r="S27" i="5"/>
  <c r="H45" i="5"/>
  <c r="H81" i="5" s="1"/>
  <c r="H43" i="5"/>
  <c r="H154" i="5" s="1"/>
  <c r="F191" i="5"/>
  <c r="F185" i="5" s="1"/>
  <c r="D32" i="5"/>
  <c r="D30" i="22" s="1"/>
  <c r="E30" i="22" s="1"/>
  <c r="L45" i="5"/>
  <c r="L81" i="5" s="1"/>
  <c r="L43" i="5"/>
  <c r="L154" i="5" s="1"/>
  <c r="N28" i="5"/>
  <c r="M189" i="5"/>
  <c r="M183" i="5" s="1"/>
  <c r="M60" i="5"/>
  <c r="N190" i="5"/>
  <c r="N68" i="5"/>
  <c r="P192" i="5"/>
  <c r="P61" i="5"/>
  <c r="N25" i="5"/>
  <c r="G26" i="5"/>
  <c r="S26" i="5"/>
  <c r="F60" i="5"/>
  <c r="G190" i="5"/>
  <c r="G68" i="5"/>
  <c r="O190" i="5"/>
  <c r="O68" i="5"/>
  <c r="M192" i="5"/>
  <c r="M61" i="5"/>
  <c r="F193" i="5"/>
  <c r="F62" i="5"/>
  <c r="R193" i="5"/>
  <c r="R187" i="5" s="1"/>
  <c r="R62" i="5"/>
  <c r="I27" i="5"/>
  <c r="Q207" i="5"/>
  <c r="G25" i="5"/>
  <c r="O25" i="5"/>
  <c r="H26" i="5"/>
  <c r="L26" i="5"/>
  <c r="P26" i="5"/>
  <c r="M27" i="5"/>
  <c r="R28" i="5"/>
  <c r="G189" i="5"/>
  <c r="G60" i="5"/>
  <c r="K189" i="5"/>
  <c r="K60" i="5"/>
  <c r="O189" i="5"/>
  <c r="O60" i="5"/>
  <c r="S189" i="5"/>
  <c r="S60" i="5"/>
  <c r="L190" i="5"/>
  <c r="L68" i="5"/>
  <c r="P190" i="5"/>
  <c r="P68" i="5"/>
  <c r="K193" i="5"/>
  <c r="K187" i="5" s="1"/>
  <c r="K62" i="5"/>
  <c r="O193" i="5"/>
  <c r="O187" i="5" s="1"/>
  <c r="O62" i="5"/>
  <c r="S193" i="5"/>
  <c r="S187" i="5" s="1"/>
  <c r="S62" i="5"/>
  <c r="Q189" i="5"/>
  <c r="Q60" i="5"/>
  <c r="R190" i="5"/>
  <c r="R68" i="5"/>
  <c r="L192" i="5"/>
  <c r="L61" i="5"/>
  <c r="I193" i="5"/>
  <c r="I187" i="5" s="1"/>
  <c r="I62" i="5"/>
  <c r="M24" i="5"/>
  <c r="R25" i="5"/>
  <c r="K26" i="5"/>
  <c r="P27" i="5"/>
  <c r="J189" i="5"/>
  <c r="J60" i="5"/>
  <c r="R189" i="5"/>
  <c r="R60" i="5"/>
  <c r="K190" i="5"/>
  <c r="K68" i="5"/>
  <c r="S190" i="5"/>
  <c r="S68" i="5"/>
  <c r="Q192" i="5"/>
  <c r="Q61" i="5"/>
  <c r="N193" i="5"/>
  <c r="N187" i="5" s="1"/>
  <c r="N62" i="5"/>
  <c r="F25" i="5"/>
  <c r="K24" i="5"/>
  <c r="O24" i="5"/>
  <c r="S24" i="5"/>
  <c r="L25" i="5"/>
  <c r="P25" i="5"/>
  <c r="K28" i="5"/>
  <c r="O28" i="5"/>
  <c r="I190" i="5"/>
  <c r="I68" i="5"/>
  <c r="M190" i="5"/>
  <c r="M68" i="5"/>
  <c r="Q190" i="5"/>
  <c r="Q68" i="5"/>
  <c r="F190" i="5"/>
  <c r="F68" i="5"/>
  <c r="M193" i="5"/>
  <c r="M187" i="5" s="1"/>
  <c r="M62" i="5"/>
  <c r="Q45" i="5"/>
  <c r="Q81" i="5" s="1"/>
  <c r="I189" i="5"/>
  <c r="I60" i="5"/>
  <c r="J190" i="5"/>
  <c r="J68" i="5"/>
  <c r="H192" i="5"/>
  <c r="H186" i="5" s="1"/>
  <c r="H61" i="5"/>
  <c r="Q193" i="5"/>
  <c r="Q187" i="5" s="1"/>
  <c r="Q62" i="5"/>
  <c r="O26" i="5"/>
  <c r="Q28" i="5"/>
  <c r="N189" i="5"/>
  <c r="N60" i="5"/>
  <c r="I192" i="5"/>
  <c r="I186" i="5" s="1"/>
  <c r="I61" i="5"/>
  <c r="J193" i="5"/>
  <c r="J187" i="5" s="1"/>
  <c r="J62" i="5"/>
  <c r="Q43" i="5"/>
  <c r="D106" i="5"/>
  <c r="D107" i="22" s="1"/>
  <c r="E107" i="22" s="1"/>
  <c r="D130" i="5"/>
  <c r="D131" i="22" s="1"/>
  <c r="D153" i="5"/>
  <c r="D154" i="22" s="1"/>
  <c r="H156" i="5"/>
  <c r="D157" i="5"/>
  <c r="D158" i="22" s="1"/>
  <c r="D161" i="5"/>
  <c r="D162" i="22" s="1"/>
  <c r="F176" i="5"/>
  <c r="D133" i="5"/>
  <c r="D134" i="22" s="1"/>
  <c r="D138" i="5"/>
  <c r="D139" i="22" s="1"/>
  <c r="D136" i="5"/>
  <c r="D137" i="22" s="1"/>
  <c r="P154" i="5"/>
  <c r="D155" i="5"/>
  <c r="D156" i="22" s="1"/>
  <c r="D159" i="5"/>
  <c r="D160" i="22" s="1"/>
  <c r="D175" i="5"/>
  <c r="D176" i="22" s="1"/>
  <c r="G196" i="5"/>
  <c r="H196" i="5" s="1"/>
  <c r="I196" i="5" s="1"/>
  <c r="J196" i="5" s="1"/>
  <c r="K196" i="5" s="1"/>
  <c r="L196" i="5" s="1"/>
  <c r="M196" i="5" s="1"/>
  <c r="N196" i="5" s="1"/>
  <c r="O196" i="5" s="1"/>
  <c r="P196" i="5" s="1"/>
  <c r="Q196" i="5" s="1"/>
  <c r="R196" i="5" s="1"/>
  <c r="S196" i="5" s="1"/>
  <c r="F196" i="5"/>
  <c r="N207" i="5"/>
  <c r="F206" i="5"/>
  <c r="D7" i="7"/>
  <c r="D7" i="20" s="1"/>
  <c r="F5" i="22" s="1"/>
  <c r="C18" i="7"/>
  <c r="D21" i="21" s="1"/>
  <c r="H19" i="22" s="1"/>
  <c r="G19" i="22" s="1"/>
  <c r="C17" i="7"/>
  <c r="D21" i="20" s="1"/>
  <c r="F19" i="22" s="1"/>
  <c r="E19" i="22" s="1"/>
  <c r="C16" i="7"/>
  <c r="D21" i="5" s="1"/>
  <c r="D19" i="22" s="1"/>
  <c r="C13" i="7"/>
  <c r="C12" i="7"/>
  <c r="C11" i="7"/>
  <c r="E40" i="6"/>
  <c r="D40" i="6"/>
  <c r="D8" i="7" s="1"/>
  <c r="P33" i="6"/>
  <c r="J33" i="6"/>
  <c r="R33" i="6" s="1"/>
  <c r="I33" i="6"/>
  <c r="Q33" i="6" s="1"/>
  <c r="H33" i="6"/>
  <c r="H41" i="6" s="1"/>
  <c r="H40" i="6" s="1"/>
  <c r="G33" i="6"/>
  <c r="G41" i="6" s="1"/>
  <c r="G40" i="6" s="1"/>
  <c r="F33" i="6"/>
  <c r="N33" i="6" s="1"/>
  <c r="M32" i="6"/>
  <c r="M40" i="6" s="1"/>
  <c r="C32" i="6"/>
  <c r="C40" i="6" s="1"/>
  <c r="E29" i="6"/>
  <c r="D29" i="6"/>
  <c r="J22" i="6"/>
  <c r="R22" i="6" s="1"/>
  <c r="I22" i="6"/>
  <c r="I30" i="6" s="1"/>
  <c r="I29" i="6" s="1"/>
  <c r="H22" i="6"/>
  <c r="H30" i="6" s="1"/>
  <c r="H29" i="6" s="1"/>
  <c r="G22" i="6"/>
  <c r="O22" i="6" s="1"/>
  <c r="F22" i="6"/>
  <c r="N22" i="6" s="1"/>
  <c r="M21" i="6"/>
  <c r="M29" i="6" s="1"/>
  <c r="C21" i="6"/>
  <c r="C29" i="6" s="1"/>
  <c r="D18" i="6"/>
  <c r="D75" i="6" s="1"/>
  <c r="Q9" i="6"/>
  <c r="Q19" i="6" s="1"/>
  <c r="J9" i="6"/>
  <c r="R9" i="6" s="1"/>
  <c r="I9" i="6"/>
  <c r="I19" i="6" s="1"/>
  <c r="H9" i="6"/>
  <c r="H19" i="6" s="1"/>
  <c r="G9" i="6"/>
  <c r="O9" i="6" s="1"/>
  <c r="F9" i="6"/>
  <c r="N9" i="6" s="1"/>
  <c r="M8" i="6"/>
  <c r="M18" i="6" s="1"/>
  <c r="C8" i="6"/>
  <c r="C18" i="6" s="1"/>
  <c r="C75" i="6" s="1"/>
  <c r="K12" i="7"/>
  <c r="K17" i="7" s="1"/>
  <c r="H120" i="20" l="1"/>
  <c r="K118" i="20"/>
  <c r="H122" i="20"/>
  <c r="Q118" i="21"/>
  <c r="J119" i="20"/>
  <c r="Q186" i="5"/>
  <c r="O186" i="5"/>
  <c r="K122" i="20"/>
  <c r="L122" i="21"/>
  <c r="L186" i="5"/>
  <c r="O121" i="20"/>
  <c r="K118" i="21"/>
  <c r="Q119" i="21"/>
  <c r="H119" i="20"/>
  <c r="H121" i="20"/>
  <c r="M121" i="20"/>
  <c r="N118" i="20"/>
  <c r="M122" i="20"/>
  <c r="G8" i="7"/>
  <c r="D7" i="21"/>
  <c r="H5" i="22" s="1"/>
  <c r="G5" i="22" s="1"/>
  <c r="G118" i="20"/>
  <c r="G123" i="20"/>
  <c r="G111" i="20"/>
  <c r="G119" i="20"/>
  <c r="G122" i="20"/>
  <c r="G120" i="20"/>
  <c r="F117" i="22"/>
  <c r="D115" i="21"/>
  <c r="M13" i="7"/>
  <c r="M18" i="7" s="1"/>
  <c r="D20" i="21"/>
  <c r="H18" i="22" s="1"/>
  <c r="F115" i="22"/>
  <c r="F113" i="22"/>
  <c r="O120" i="21"/>
  <c r="O111" i="21"/>
  <c r="O123" i="21"/>
  <c r="F122" i="20"/>
  <c r="F123" i="20"/>
  <c r="F111" i="20"/>
  <c r="D110" i="20"/>
  <c r="D120" i="20" s="1"/>
  <c r="F121" i="22" s="1"/>
  <c r="Q22" i="6"/>
  <c r="Q21" i="6" s="1"/>
  <c r="F120" i="20"/>
  <c r="D113" i="21"/>
  <c r="G74" i="22"/>
  <c r="H118" i="21"/>
  <c r="H123" i="21"/>
  <c r="H111" i="21"/>
  <c r="G88" i="22"/>
  <c r="O119" i="20"/>
  <c r="O122" i="20"/>
  <c r="O120" i="20"/>
  <c r="L120" i="20"/>
  <c r="L123" i="20"/>
  <c r="L111" i="20"/>
  <c r="P120" i="21"/>
  <c r="P123" i="21"/>
  <c r="P111" i="21"/>
  <c r="P122" i="21"/>
  <c r="K120" i="20"/>
  <c r="K123" i="20"/>
  <c r="K111" i="20"/>
  <c r="G110" i="21"/>
  <c r="G121" i="21" s="1"/>
  <c r="D112" i="21"/>
  <c r="H120" i="21"/>
  <c r="M122" i="21"/>
  <c r="Q120" i="20"/>
  <c r="Q123" i="20"/>
  <c r="Q111" i="20"/>
  <c r="P119" i="21"/>
  <c r="M118" i="20"/>
  <c r="G121" i="20"/>
  <c r="P32" i="6"/>
  <c r="L120" i="21"/>
  <c r="L123" i="21"/>
  <c r="L111" i="21"/>
  <c r="P121" i="21"/>
  <c r="O111" i="20"/>
  <c r="O123" i="20"/>
  <c r="J120" i="20"/>
  <c r="J123" i="20"/>
  <c r="J111" i="20"/>
  <c r="Q121" i="20"/>
  <c r="M120" i="20"/>
  <c r="M123" i="20"/>
  <c r="M111" i="20"/>
  <c r="N12" i="7"/>
  <c r="N17" i="7" s="1"/>
  <c r="D20" i="20"/>
  <c r="F18" i="22" s="1"/>
  <c r="G122" i="21"/>
  <c r="D116" i="21"/>
  <c r="D6" i="7"/>
  <c r="M121" i="21"/>
  <c r="M123" i="21"/>
  <c r="M111" i="21"/>
  <c r="L121" i="21"/>
  <c r="F119" i="20"/>
  <c r="L119" i="21"/>
  <c r="I120" i="21"/>
  <c r="I123" i="21"/>
  <c r="I111" i="21"/>
  <c r="Q121" i="21"/>
  <c r="Q123" i="21"/>
  <c r="Q111" i="21"/>
  <c r="N120" i="20"/>
  <c r="N123" i="20"/>
  <c r="N111" i="20"/>
  <c r="G90" i="22"/>
  <c r="K119" i="20"/>
  <c r="F121" i="20"/>
  <c r="H122" i="21"/>
  <c r="M120" i="21"/>
  <c r="O119" i="21"/>
  <c r="H121" i="21"/>
  <c r="N119" i="20"/>
  <c r="J122" i="20"/>
  <c r="H115" i="22"/>
  <c r="P111" i="20"/>
  <c r="P123" i="20"/>
  <c r="P122" i="20"/>
  <c r="L12" i="7"/>
  <c r="L17" i="7" s="1"/>
  <c r="K11" i="7"/>
  <c r="K16" i="7" s="1"/>
  <c r="D20" i="5"/>
  <c r="D18" i="22" s="1"/>
  <c r="F118" i="20"/>
  <c r="G92" i="22"/>
  <c r="N118" i="21"/>
  <c r="N111" i="21"/>
  <c r="N123" i="21"/>
  <c r="N120" i="21"/>
  <c r="D115" i="20"/>
  <c r="K122" i="21"/>
  <c r="K111" i="21"/>
  <c r="K123" i="21"/>
  <c r="H111" i="20"/>
  <c r="H123" i="20"/>
  <c r="N121" i="20"/>
  <c r="H119" i="21"/>
  <c r="I119" i="20"/>
  <c r="I111" i="20"/>
  <c r="I123" i="20"/>
  <c r="J121" i="21"/>
  <c r="J123" i="21"/>
  <c r="J111" i="21"/>
  <c r="M119" i="21"/>
  <c r="G91" i="22"/>
  <c r="I121" i="20"/>
  <c r="O121" i="21"/>
  <c r="I183" i="5"/>
  <c r="J183" i="5"/>
  <c r="Q183" i="5"/>
  <c r="S183" i="5"/>
  <c r="K183" i="5"/>
  <c r="N183" i="5"/>
  <c r="R183" i="5"/>
  <c r="O183" i="5"/>
  <c r="G183" i="5"/>
  <c r="F187" i="5"/>
  <c r="P186" i="5"/>
  <c r="K186" i="5"/>
  <c r="N186" i="5"/>
  <c r="P183" i="5"/>
  <c r="J184" i="5"/>
  <c r="F184" i="5"/>
  <c r="M184" i="5"/>
  <c r="S184" i="5"/>
  <c r="R184" i="5"/>
  <c r="L184" i="5"/>
  <c r="M186" i="5"/>
  <c r="G184" i="5"/>
  <c r="N184" i="5"/>
  <c r="S186" i="5"/>
  <c r="L183" i="5"/>
  <c r="J186" i="5"/>
  <c r="H184" i="5"/>
  <c r="G113" i="5"/>
  <c r="Q184" i="5"/>
  <c r="K184" i="5"/>
  <c r="P184" i="5"/>
  <c r="O184" i="5"/>
  <c r="I184" i="5"/>
  <c r="R186" i="5"/>
  <c r="I84" i="5"/>
  <c r="I90" i="5" s="1"/>
  <c r="H88" i="5"/>
  <c r="D68" i="5"/>
  <c r="D69" i="22" s="1"/>
  <c r="E69" i="22" s="1"/>
  <c r="G192" i="5"/>
  <c r="G186" i="5" s="1"/>
  <c r="G27" i="5"/>
  <c r="F192" i="5"/>
  <c r="F186" i="5" s="1"/>
  <c r="L156" i="5"/>
  <c r="G62" i="5"/>
  <c r="D34" i="5"/>
  <c r="D32" i="22" s="1"/>
  <c r="E32" i="22" s="1"/>
  <c r="H189" i="5"/>
  <c r="H183" i="5" s="1"/>
  <c r="J126" i="5"/>
  <c r="I28" i="5"/>
  <c r="H193" i="5"/>
  <c r="H187" i="5" s="1"/>
  <c r="H60" i="5"/>
  <c r="H87" i="5" s="1"/>
  <c r="H62" i="5"/>
  <c r="H74" i="5" s="1"/>
  <c r="G28" i="5"/>
  <c r="F207" i="5"/>
  <c r="D206" i="5"/>
  <c r="D207" i="22" s="1"/>
  <c r="Q156" i="5"/>
  <c r="Q154" i="5"/>
  <c r="H90" i="5"/>
  <c r="H73" i="5"/>
  <c r="I87" i="5"/>
  <c r="D190" i="5"/>
  <c r="D191" i="22" s="1"/>
  <c r="E191" i="22" s="1"/>
  <c r="Q80" i="5"/>
  <c r="Q89" i="5"/>
  <c r="I89" i="5"/>
  <c r="Q73" i="5"/>
  <c r="K89" i="5"/>
  <c r="J87" i="5"/>
  <c r="F28" i="5"/>
  <c r="I207" i="5"/>
  <c r="D176" i="5"/>
  <c r="D177" i="22" s="1"/>
  <c r="I25" i="5"/>
  <c r="N89" i="5"/>
  <c r="O43" i="5"/>
  <c r="O72" i="5" s="1"/>
  <c r="O45" i="5"/>
  <c r="D191" i="5"/>
  <c r="D192" i="22" s="1"/>
  <c r="E192" i="22" s="1"/>
  <c r="D185" i="5"/>
  <c r="D186" i="22" s="1"/>
  <c r="F27" i="5"/>
  <c r="P91" i="5"/>
  <c r="P74" i="5"/>
  <c r="P87" i="5"/>
  <c r="P72" i="5"/>
  <c r="N43" i="5"/>
  <c r="N72" i="5" s="1"/>
  <c r="N45" i="5"/>
  <c r="J28" i="5"/>
  <c r="D94" i="5"/>
  <c r="D95" i="22" s="1"/>
  <c r="E95" i="22" s="1"/>
  <c r="J91" i="5"/>
  <c r="N87" i="5"/>
  <c r="M91" i="5"/>
  <c r="S43" i="5"/>
  <c r="S74" i="5" s="1"/>
  <c r="S45" i="5"/>
  <c r="J43" i="5"/>
  <c r="J72" i="5" s="1"/>
  <c r="J45" i="5"/>
  <c r="L73" i="5"/>
  <c r="Q87" i="5"/>
  <c r="Q72" i="5"/>
  <c r="M43" i="5"/>
  <c r="M73" i="5" s="1"/>
  <c r="M45" i="5"/>
  <c r="S91" i="5"/>
  <c r="K91" i="5"/>
  <c r="L80" i="5"/>
  <c r="L89" i="5"/>
  <c r="O87" i="5"/>
  <c r="G87" i="5"/>
  <c r="F91" i="5"/>
  <c r="O89" i="5"/>
  <c r="F87" i="5"/>
  <c r="J25" i="5"/>
  <c r="I26" i="5"/>
  <c r="F90" i="5"/>
  <c r="D61" i="5"/>
  <c r="D62" i="22" s="1"/>
  <c r="E62" i="22" s="1"/>
  <c r="J26" i="5"/>
  <c r="Q91" i="5"/>
  <c r="Q74" i="5"/>
  <c r="J89" i="5"/>
  <c r="G45" i="5"/>
  <c r="G43" i="5"/>
  <c r="G72" i="5" s="1"/>
  <c r="M89" i="5"/>
  <c r="F201" i="5"/>
  <c r="F36" i="5"/>
  <c r="D22" i="5"/>
  <c r="D20" i="22" s="1"/>
  <c r="N91" i="5"/>
  <c r="S89" i="5"/>
  <c r="R87" i="5"/>
  <c r="P73" i="5"/>
  <c r="M87" i="5"/>
  <c r="F26" i="5"/>
  <c r="R43" i="5"/>
  <c r="R45" i="5"/>
  <c r="J27" i="5"/>
  <c r="H89" i="5"/>
  <c r="H80" i="5"/>
  <c r="J24" i="5"/>
  <c r="F129" i="5"/>
  <c r="D96" i="5"/>
  <c r="D97" i="22" s="1"/>
  <c r="E97" i="22" s="1"/>
  <c r="F89" i="5"/>
  <c r="I91" i="5"/>
  <c r="R89" i="5"/>
  <c r="K45" i="5"/>
  <c r="K43" i="5"/>
  <c r="O91" i="5"/>
  <c r="P89" i="5"/>
  <c r="P80" i="5"/>
  <c r="S87" i="5"/>
  <c r="K87" i="5"/>
  <c r="F24" i="5"/>
  <c r="R91" i="5"/>
  <c r="G89" i="5"/>
  <c r="G90" i="5"/>
  <c r="L91" i="5"/>
  <c r="L74" i="5"/>
  <c r="L87" i="5"/>
  <c r="L72" i="5"/>
  <c r="I24" i="5"/>
  <c r="G7" i="7"/>
  <c r="L13" i="7"/>
  <c r="L18" i="7" s="1"/>
  <c r="N13" i="7"/>
  <c r="N18" i="7" s="1"/>
  <c r="J13" i="7"/>
  <c r="J18" i="7" s="1"/>
  <c r="F8" i="7"/>
  <c r="H8" i="7"/>
  <c r="E8" i="7"/>
  <c r="I8" i="7"/>
  <c r="D17" i="7"/>
  <c r="G17" i="7" s="1"/>
  <c r="D18" i="7"/>
  <c r="K13" i="7"/>
  <c r="K18" i="7" s="1"/>
  <c r="D13" i="7"/>
  <c r="M12" i="7"/>
  <c r="M17" i="7" s="1"/>
  <c r="J12" i="7"/>
  <c r="J17" i="7" s="1"/>
  <c r="J11" i="7"/>
  <c r="J16" i="7" s="1"/>
  <c r="N11" i="7"/>
  <c r="N16" i="7" s="1"/>
  <c r="M11" i="7"/>
  <c r="M16" i="7" s="1"/>
  <c r="L11" i="7"/>
  <c r="L16" i="7" s="1"/>
  <c r="E7" i="7"/>
  <c r="F6" i="7"/>
  <c r="F7" i="7"/>
  <c r="I7" i="7"/>
  <c r="N30" i="6"/>
  <c r="N29" i="6" s="1"/>
  <c r="N21" i="6"/>
  <c r="N19" i="6"/>
  <c r="N8" i="6"/>
  <c r="R19" i="6"/>
  <c r="R8" i="6"/>
  <c r="N41" i="6"/>
  <c r="N40" i="6" s="1"/>
  <c r="N32" i="6"/>
  <c r="R41" i="6"/>
  <c r="R40" i="6" s="1"/>
  <c r="R32" i="6"/>
  <c r="O19" i="6"/>
  <c r="O8" i="6"/>
  <c r="Q18" i="6"/>
  <c r="E75" i="6"/>
  <c r="R30" i="6"/>
  <c r="R29" i="6" s="1"/>
  <c r="R21" i="6"/>
  <c r="H18" i="6"/>
  <c r="H76" i="6"/>
  <c r="H75" i="6" s="1"/>
  <c r="M75" i="6"/>
  <c r="O30" i="6"/>
  <c r="O29" i="6" s="1"/>
  <c r="O21" i="6"/>
  <c r="Q41" i="6"/>
  <c r="Q40" i="6" s="1"/>
  <c r="Q32" i="6"/>
  <c r="Q8" i="6"/>
  <c r="P9" i="6"/>
  <c r="I18" i="6"/>
  <c r="F19" i="6"/>
  <c r="J19" i="6"/>
  <c r="P22" i="6"/>
  <c r="O33" i="6"/>
  <c r="G19" i="6"/>
  <c r="F30" i="6"/>
  <c r="F29" i="6" s="1"/>
  <c r="J30" i="6"/>
  <c r="J29" i="6" s="1"/>
  <c r="Q30" i="6"/>
  <c r="Q29" i="6" s="1"/>
  <c r="I41" i="6"/>
  <c r="I40" i="6" s="1"/>
  <c r="P41" i="6"/>
  <c r="P40" i="6" s="1"/>
  <c r="G30" i="6"/>
  <c r="G29" i="6" s="1"/>
  <c r="F41" i="6"/>
  <c r="F40" i="6" s="1"/>
  <c r="J41" i="6"/>
  <c r="J40" i="6" s="1"/>
  <c r="I17" i="7"/>
  <c r="H6" i="7"/>
  <c r="E6" i="7"/>
  <c r="H7" i="7"/>
  <c r="D12" i="7"/>
  <c r="D16" i="7"/>
  <c r="D11" i="7"/>
  <c r="G119" i="21" l="1"/>
  <c r="G12" i="7"/>
  <c r="D11" i="20"/>
  <c r="F9" i="22" s="1"/>
  <c r="H11" i="7"/>
  <c r="D12" i="5"/>
  <c r="D10" i="22" s="1"/>
  <c r="I13" i="7"/>
  <c r="D13" i="21"/>
  <c r="H11" i="22" s="1"/>
  <c r="G11" i="22" s="1"/>
  <c r="H117" i="22"/>
  <c r="G117" i="22" s="1"/>
  <c r="I12" i="7"/>
  <c r="D13" i="20"/>
  <c r="F11" i="22" s="1"/>
  <c r="H13" i="7"/>
  <c r="D12" i="21"/>
  <c r="H10" i="22" s="1"/>
  <c r="E18" i="22"/>
  <c r="G18" i="22"/>
  <c r="F12" i="7"/>
  <c r="D10" i="20"/>
  <c r="F8" i="22" s="1"/>
  <c r="F13" i="7"/>
  <c r="D10" i="21"/>
  <c r="H8" i="22" s="1"/>
  <c r="G8" i="22" s="1"/>
  <c r="E11" i="7"/>
  <c r="D9" i="5"/>
  <c r="D7" i="22" s="1"/>
  <c r="E13" i="7"/>
  <c r="D9" i="21"/>
  <c r="H7" i="22" s="1"/>
  <c r="G7" i="22" s="1"/>
  <c r="F11" i="7"/>
  <c r="D10" i="5"/>
  <c r="D8" i="22" s="1"/>
  <c r="F116" i="22"/>
  <c r="D121" i="20"/>
  <c r="F122" i="22" s="1"/>
  <c r="H113" i="22"/>
  <c r="G113" i="22" s="1"/>
  <c r="F111" i="22"/>
  <c r="D111" i="20"/>
  <c r="F112" i="22" s="1"/>
  <c r="D119" i="20"/>
  <c r="F120" i="22" s="1"/>
  <c r="H116" i="22"/>
  <c r="G116" i="22" s="1"/>
  <c r="Q76" i="6"/>
  <c r="Q75" i="6" s="1"/>
  <c r="E12" i="7"/>
  <c r="D9" i="20"/>
  <c r="F7" i="22" s="1"/>
  <c r="G115" i="22"/>
  <c r="G118" i="21"/>
  <c r="D37" i="22"/>
  <c r="E37" i="22" s="1"/>
  <c r="D36" i="22"/>
  <c r="E20" i="22"/>
  <c r="E36" i="22" s="1"/>
  <c r="H12" i="7"/>
  <c r="D12" i="20"/>
  <c r="F10" i="22" s="1"/>
  <c r="E10" i="22" s="1"/>
  <c r="G120" i="21"/>
  <c r="G123" i="21"/>
  <c r="D123" i="21" s="1"/>
  <c r="H124" i="22" s="1"/>
  <c r="G111" i="21"/>
  <c r="D110" i="21"/>
  <c r="D122" i="21" s="1"/>
  <c r="H123" i="22" s="1"/>
  <c r="D123" i="20"/>
  <c r="F124" i="22" s="1"/>
  <c r="D118" i="20"/>
  <c r="F119" i="22" s="1"/>
  <c r="D122" i="20"/>
  <c r="F123" i="22" s="1"/>
  <c r="I6" i="7"/>
  <c r="D7" i="5"/>
  <c r="D5" i="22" s="1"/>
  <c r="E5" i="22" s="1"/>
  <c r="G6" i="7"/>
  <c r="H114" i="22"/>
  <c r="G114" i="22" s="1"/>
  <c r="D119" i="21"/>
  <c r="H120" i="22" s="1"/>
  <c r="G120" i="22" s="1"/>
  <c r="G13" i="7"/>
  <c r="D11" i="21"/>
  <c r="H9" i="22" s="1"/>
  <c r="G9" i="22" s="1"/>
  <c r="D7" i="14"/>
  <c r="D6" i="14"/>
  <c r="F6" i="14" s="1"/>
  <c r="O162" i="5"/>
  <c r="L158" i="5"/>
  <c r="S158" i="5"/>
  <c r="D193" i="5"/>
  <c r="D194" i="22" s="1"/>
  <c r="E194" i="22" s="1"/>
  <c r="Q162" i="5"/>
  <c r="M162" i="5"/>
  <c r="J158" i="5"/>
  <c r="R162" i="5"/>
  <c r="R158" i="5"/>
  <c r="K162" i="5"/>
  <c r="N158" i="5"/>
  <c r="P162" i="5"/>
  <c r="H160" i="5"/>
  <c r="H158" i="5"/>
  <c r="H113" i="5"/>
  <c r="M158" i="5"/>
  <c r="O158" i="5"/>
  <c r="Q158" i="5"/>
  <c r="J162" i="5"/>
  <c r="I160" i="5"/>
  <c r="L162" i="5"/>
  <c r="S162" i="5"/>
  <c r="K158" i="5"/>
  <c r="I162" i="5"/>
  <c r="N162" i="5"/>
  <c r="P158" i="5"/>
  <c r="I158" i="5"/>
  <c r="F44" i="5"/>
  <c r="F77" i="5" s="1"/>
  <c r="D77" i="5" s="1"/>
  <c r="D78" i="22" s="1"/>
  <c r="E78" i="22" s="1"/>
  <c r="F150" i="5"/>
  <c r="F146" i="5"/>
  <c r="F148" i="5"/>
  <c r="D148" i="5" s="1"/>
  <c r="D149" i="22" s="1"/>
  <c r="H72" i="5"/>
  <c r="N181" i="5"/>
  <c r="I181" i="5"/>
  <c r="D189" i="5"/>
  <c r="D190" i="22" s="1"/>
  <c r="E190" i="22" s="1"/>
  <c r="D60" i="5"/>
  <c r="D61" i="22" s="1"/>
  <c r="E61" i="22" s="1"/>
  <c r="S181" i="5"/>
  <c r="S73" i="5"/>
  <c r="J84" i="5"/>
  <c r="I88" i="5"/>
  <c r="R181" i="5"/>
  <c r="D187" i="5"/>
  <c r="D188" i="22" s="1"/>
  <c r="N73" i="5"/>
  <c r="H181" i="5"/>
  <c r="Q181" i="5"/>
  <c r="D62" i="5"/>
  <c r="D63" i="22" s="1"/>
  <c r="E63" i="22" s="1"/>
  <c r="J181" i="5"/>
  <c r="O181" i="5"/>
  <c r="H91" i="5"/>
  <c r="H116" i="5" s="1"/>
  <c r="G74" i="5"/>
  <c r="G91" i="5"/>
  <c r="G116" i="5" s="1"/>
  <c r="M181" i="5"/>
  <c r="L181" i="5"/>
  <c r="K80" i="5"/>
  <c r="K81" i="5"/>
  <c r="N80" i="5"/>
  <c r="N81" i="5"/>
  <c r="O80" i="5"/>
  <c r="O81" i="5"/>
  <c r="G80" i="5"/>
  <c r="G81" i="5"/>
  <c r="M80" i="5"/>
  <c r="M81" i="5"/>
  <c r="R80" i="5"/>
  <c r="R81" i="5"/>
  <c r="J80" i="5"/>
  <c r="J81" i="5"/>
  <c r="D44" i="5"/>
  <c r="D45" i="22" s="1"/>
  <c r="E45" i="22" s="1"/>
  <c r="S80" i="5"/>
  <c r="S81" i="5"/>
  <c r="D192" i="5"/>
  <c r="D193" i="22" s="1"/>
  <c r="E193" i="22" s="1"/>
  <c r="N74" i="5"/>
  <c r="K181" i="5"/>
  <c r="P181" i="5"/>
  <c r="G181" i="5"/>
  <c r="S72" i="5"/>
  <c r="D186" i="5"/>
  <c r="D187" i="22" s="1"/>
  <c r="G73" i="5"/>
  <c r="S126" i="5"/>
  <c r="J73" i="5"/>
  <c r="Q126" i="5"/>
  <c r="G126" i="5"/>
  <c r="D26" i="5"/>
  <c r="D24" i="22" s="1"/>
  <c r="E24" i="22" s="1"/>
  <c r="D28" i="5"/>
  <c r="D26" i="22" s="1"/>
  <c r="E26" i="22" s="1"/>
  <c r="D25" i="5"/>
  <c r="D23" i="22" s="1"/>
  <c r="E23" i="22" s="1"/>
  <c r="D24" i="5"/>
  <c r="D22" i="22" s="1"/>
  <c r="E22" i="22" s="1"/>
  <c r="N126" i="5"/>
  <c r="L112" i="5"/>
  <c r="K156" i="5"/>
  <c r="K154" i="5"/>
  <c r="D89" i="5"/>
  <c r="D90" i="22" s="1"/>
  <c r="E90" i="22" s="1"/>
  <c r="F114" i="5"/>
  <c r="R156" i="5"/>
  <c r="R154" i="5"/>
  <c r="R112" i="5"/>
  <c r="P114" i="5"/>
  <c r="I115" i="5"/>
  <c r="D183" i="5"/>
  <c r="D184" i="22" s="1"/>
  <c r="G160" i="5"/>
  <c r="G115" i="5"/>
  <c r="G114" i="5"/>
  <c r="R116" i="5"/>
  <c r="S112" i="5"/>
  <c r="O74" i="5"/>
  <c r="I116" i="5"/>
  <c r="F137" i="5"/>
  <c r="D95" i="5"/>
  <c r="D96" i="22" s="1"/>
  <c r="E96" i="22" s="1"/>
  <c r="F131" i="5"/>
  <c r="F139" i="5"/>
  <c r="M112" i="5"/>
  <c r="O73" i="5"/>
  <c r="K116" i="5"/>
  <c r="Q112" i="5"/>
  <c r="J156" i="5"/>
  <c r="J154" i="5"/>
  <c r="M116" i="5"/>
  <c r="J74" i="5"/>
  <c r="N154" i="5"/>
  <c r="N156" i="5"/>
  <c r="P112" i="5"/>
  <c r="K73" i="5"/>
  <c r="N114" i="5"/>
  <c r="K114" i="5"/>
  <c r="Q114" i="5"/>
  <c r="I112" i="5"/>
  <c r="O116" i="5"/>
  <c r="R114" i="5"/>
  <c r="D129" i="5"/>
  <c r="D130" i="22" s="1"/>
  <c r="R73" i="5"/>
  <c r="S114" i="5"/>
  <c r="F43" i="5"/>
  <c r="D36" i="5"/>
  <c r="F45" i="5"/>
  <c r="F81" i="5" s="1"/>
  <c r="Q116" i="5"/>
  <c r="F112" i="5"/>
  <c r="D87" i="5"/>
  <c r="D88" i="22" s="1"/>
  <c r="E88" i="22" s="1"/>
  <c r="F158" i="5"/>
  <c r="O114" i="5"/>
  <c r="G158" i="5"/>
  <c r="G112" i="5"/>
  <c r="L114" i="5"/>
  <c r="S116" i="5"/>
  <c r="M154" i="5"/>
  <c r="M156" i="5"/>
  <c r="S156" i="5"/>
  <c r="S154" i="5"/>
  <c r="J116" i="5"/>
  <c r="J112" i="5"/>
  <c r="K112" i="5"/>
  <c r="F115" i="5"/>
  <c r="F160" i="5"/>
  <c r="N112" i="5"/>
  <c r="L126" i="5"/>
  <c r="D233" i="5"/>
  <c r="D234" i="22" s="1"/>
  <c r="E234" i="22" s="1"/>
  <c r="P116" i="5"/>
  <c r="O154" i="5"/>
  <c r="O156" i="5"/>
  <c r="I45" i="5"/>
  <c r="I43" i="5"/>
  <c r="D184" i="5"/>
  <c r="D185" i="22" s="1"/>
  <c r="H115" i="5"/>
  <c r="H112" i="5"/>
  <c r="G144" i="5"/>
  <c r="L116" i="5"/>
  <c r="R74" i="5"/>
  <c r="K72" i="5"/>
  <c r="H114" i="5"/>
  <c r="M72" i="5"/>
  <c r="R72" i="5"/>
  <c r="N116" i="5"/>
  <c r="M114" i="5"/>
  <c r="G154" i="5"/>
  <c r="G156" i="5"/>
  <c r="J114" i="5"/>
  <c r="F116" i="5"/>
  <c r="F162" i="5"/>
  <c r="O112" i="5"/>
  <c r="K74" i="5"/>
  <c r="M74" i="5"/>
  <c r="R126" i="5"/>
  <c r="D27" i="5"/>
  <c r="D25" i="22" s="1"/>
  <c r="E25" i="22" s="1"/>
  <c r="I114" i="5"/>
  <c r="D207" i="5"/>
  <c r="D208" i="22" s="1"/>
  <c r="G16" i="7"/>
  <c r="G18" i="7"/>
  <c r="H17" i="7"/>
  <c r="E18" i="7"/>
  <c r="F18" i="7"/>
  <c r="E17" i="7"/>
  <c r="F17" i="7"/>
  <c r="H18" i="7"/>
  <c r="I18" i="7"/>
  <c r="F16" i="7"/>
  <c r="F76" i="6"/>
  <c r="F75" i="6" s="1"/>
  <c r="F18" i="6"/>
  <c r="O32" i="6"/>
  <c r="O41" i="6"/>
  <c r="O40" i="6" s="1"/>
  <c r="P21" i="6"/>
  <c r="P30" i="6"/>
  <c r="P29" i="6" s="1"/>
  <c r="P19" i="6"/>
  <c r="P8" i="6"/>
  <c r="O18" i="6"/>
  <c r="N76" i="6"/>
  <c r="N75" i="6" s="1"/>
  <c r="N18" i="6"/>
  <c r="J76" i="6"/>
  <c r="J75" i="6" s="1"/>
  <c r="J18" i="6"/>
  <c r="G76" i="6"/>
  <c r="G75" i="6" s="1"/>
  <c r="G18" i="6"/>
  <c r="I76" i="6"/>
  <c r="I75" i="6" s="1"/>
  <c r="R76" i="6"/>
  <c r="R75" i="6" s="1"/>
  <c r="R18" i="6"/>
  <c r="H16" i="7"/>
  <c r="I16" i="7"/>
  <c r="E16" i="7"/>
  <c r="D118" i="21" l="1"/>
  <c r="H119" i="22" s="1"/>
  <c r="G119" i="22" s="1"/>
  <c r="D121" i="21"/>
  <c r="H122" i="22" s="1"/>
  <c r="G122" i="22" s="1"/>
  <c r="D91" i="5"/>
  <c r="D92" i="22" s="1"/>
  <c r="E92" i="22" s="1"/>
  <c r="I11" i="7"/>
  <c r="D13" i="5"/>
  <c r="D11" i="22" s="1"/>
  <c r="G123" i="22"/>
  <c r="G124" i="22"/>
  <c r="E7" i="22"/>
  <c r="G10" i="22"/>
  <c r="D111" i="21"/>
  <c r="H112" i="22" s="1"/>
  <c r="G112" i="22" s="1"/>
  <c r="H111" i="22"/>
  <c r="G111" i="22" s="1"/>
  <c r="D120" i="21"/>
  <c r="H121" i="22" s="1"/>
  <c r="G121" i="22" s="1"/>
  <c r="O76" i="6"/>
  <c r="O75" i="6" s="1"/>
  <c r="G11" i="7"/>
  <c r="D11" i="5"/>
  <c r="D9" i="22" s="1"/>
  <c r="E9" i="22" s="1"/>
  <c r="E8" i="22"/>
  <c r="E11" i="22"/>
  <c r="M182" i="5"/>
  <c r="O182" i="5"/>
  <c r="H182" i="5"/>
  <c r="G182" i="5"/>
  <c r="J182" i="5"/>
  <c r="P182" i="5"/>
  <c r="I182" i="5"/>
  <c r="G6" i="14"/>
  <c r="F8" i="14"/>
  <c r="F11" i="14" s="1"/>
  <c r="F12" i="14" s="1"/>
  <c r="K182" i="5"/>
  <c r="L182" i="5"/>
  <c r="Q182" i="5"/>
  <c r="R182" i="5"/>
  <c r="S182" i="5"/>
  <c r="N182" i="5"/>
  <c r="F125" i="5"/>
  <c r="G162" i="5"/>
  <c r="G151" i="5" s="1"/>
  <c r="G152" i="5" s="1"/>
  <c r="F76" i="5"/>
  <c r="D76" i="5" s="1"/>
  <c r="D77" i="22" s="1"/>
  <c r="E77" i="22" s="1"/>
  <c r="H162" i="5"/>
  <c r="H151" i="5" s="1"/>
  <c r="H152" i="5" s="1"/>
  <c r="I113" i="5"/>
  <c r="I110" i="5" s="1"/>
  <c r="F78" i="5"/>
  <c r="D78" i="5" s="1"/>
  <c r="D79" i="22" s="1"/>
  <c r="E79" i="22" s="1"/>
  <c r="F143" i="5"/>
  <c r="F144" i="5" s="1"/>
  <c r="G110" i="5"/>
  <c r="H110" i="5"/>
  <c r="F110" i="5"/>
  <c r="O126" i="5"/>
  <c r="F181" i="5"/>
  <c r="K84" i="5"/>
  <c r="J88" i="5"/>
  <c r="J90" i="5"/>
  <c r="I80" i="5"/>
  <c r="I81" i="5"/>
  <c r="D81" i="5" s="1"/>
  <c r="D82" i="22" s="1"/>
  <c r="E82" i="22" s="1"/>
  <c r="D43" i="5"/>
  <c r="D44" i="22" s="1"/>
  <c r="E44" i="22" s="1"/>
  <c r="D45" i="5"/>
  <c r="D46" i="22" s="1"/>
  <c r="E46" i="22" s="1"/>
  <c r="M126" i="5"/>
  <c r="I126" i="5"/>
  <c r="P126" i="5"/>
  <c r="H126" i="5"/>
  <c r="F80" i="5"/>
  <c r="D114" i="5"/>
  <c r="D115" i="22" s="1"/>
  <c r="E115" i="22" s="1"/>
  <c r="D112" i="5"/>
  <c r="D113" i="22" s="1"/>
  <c r="E113" i="22" s="1"/>
  <c r="D137" i="5"/>
  <c r="D138" i="22" s="1"/>
  <c r="F156" i="5"/>
  <c r="F154" i="5"/>
  <c r="F72" i="5"/>
  <c r="F74" i="5"/>
  <c r="F73" i="5"/>
  <c r="D139" i="5"/>
  <c r="D140" i="22" s="1"/>
  <c r="D116" i="5"/>
  <c r="D117" i="22" s="1"/>
  <c r="E117" i="22" s="1"/>
  <c r="G201" i="5"/>
  <c r="I156" i="5"/>
  <c r="I154" i="5"/>
  <c r="I72" i="5"/>
  <c r="I74" i="5"/>
  <c r="I73" i="5"/>
  <c r="D230" i="5"/>
  <c r="D158" i="5"/>
  <c r="D159" i="22" s="1"/>
  <c r="D131" i="5"/>
  <c r="D132" i="22" s="1"/>
  <c r="P76" i="6"/>
  <c r="P75" i="6" s="1"/>
  <c r="P18" i="6"/>
  <c r="D231" i="5" l="1"/>
  <c r="D232" i="22" s="1"/>
  <c r="E232" i="22" s="1"/>
  <c r="D231" i="22"/>
  <c r="E231" i="22" s="1"/>
  <c r="F217" i="5"/>
  <c r="D181" i="5"/>
  <c r="G119" i="5"/>
  <c r="G217" i="5"/>
  <c r="I120" i="5"/>
  <c r="I217" i="5"/>
  <c r="I211" i="5" s="1"/>
  <c r="F220" i="5"/>
  <c r="F13" i="14"/>
  <c r="G10" i="14" s="1"/>
  <c r="H6" i="14"/>
  <c r="G8" i="14"/>
  <c r="G11" i="14" s="1"/>
  <c r="H119" i="5"/>
  <c r="H217" i="5"/>
  <c r="F216" i="5"/>
  <c r="F215" i="5"/>
  <c r="F126" i="5"/>
  <c r="D162" i="5"/>
  <c r="D163" i="22" s="1"/>
  <c r="J160" i="5"/>
  <c r="J113" i="5"/>
  <c r="G121" i="5"/>
  <c r="I121" i="5"/>
  <c r="H121" i="5"/>
  <c r="G120" i="5"/>
  <c r="G122" i="5"/>
  <c r="G118" i="5"/>
  <c r="H122" i="5"/>
  <c r="F121" i="5"/>
  <c r="F119" i="5"/>
  <c r="I118" i="5"/>
  <c r="H118" i="5"/>
  <c r="I119" i="5"/>
  <c r="I122" i="5"/>
  <c r="H120" i="5"/>
  <c r="F182" i="5"/>
  <c r="D80" i="5"/>
  <c r="D81" i="22" s="1"/>
  <c r="E81" i="22" s="1"/>
  <c r="L84" i="5"/>
  <c r="K88" i="5"/>
  <c r="K90" i="5"/>
  <c r="J115" i="5"/>
  <c r="D125" i="5"/>
  <c r="I151" i="5"/>
  <c r="D73" i="5"/>
  <c r="D74" i="22" s="1"/>
  <c r="E74" i="22" s="1"/>
  <c r="D156" i="5"/>
  <c r="D157" i="22" s="1"/>
  <c r="H123" i="5"/>
  <c r="H111" i="5"/>
  <c r="I111" i="5"/>
  <c r="I123" i="5"/>
  <c r="F118" i="5"/>
  <c r="K126" i="5"/>
  <c r="D74" i="5"/>
  <c r="D75" i="22" s="1"/>
  <c r="E75" i="22" s="1"/>
  <c r="F120" i="5"/>
  <c r="F122" i="5"/>
  <c r="D72" i="5"/>
  <c r="D73" i="22" s="1"/>
  <c r="E73" i="22" s="1"/>
  <c r="G123" i="5"/>
  <c r="G111" i="5"/>
  <c r="D154" i="5"/>
  <c r="D155" i="22" s="1"/>
  <c r="F151" i="5"/>
  <c r="F111" i="5"/>
  <c r="F123" i="5"/>
  <c r="H201" i="5"/>
  <c r="D126" i="5" l="1"/>
  <c r="D127" i="22" s="1"/>
  <c r="D126" i="22"/>
  <c r="D182" i="5"/>
  <c r="D183" i="22" s="1"/>
  <c r="D182" i="22"/>
  <c r="G12" i="14"/>
  <c r="G220" i="5" s="1"/>
  <c r="G218" i="5" s="1"/>
  <c r="F218" i="5"/>
  <c r="I212" i="5"/>
  <c r="I178" i="5"/>
  <c r="I179" i="5" s="1"/>
  <c r="I6" i="14"/>
  <c r="H8" i="14"/>
  <c r="H11" i="14" s="1"/>
  <c r="H211" i="5"/>
  <c r="G211" i="5"/>
  <c r="K160" i="5"/>
  <c r="K151" i="5" s="1"/>
  <c r="K113" i="5"/>
  <c r="J110" i="5"/>
  <c r="F211" i="5"/>
  <c r="K115" i="5"/>
  <c r="J151" i="5"/>
  <c r="M84" i="5"/>
  <c r="L88" i="5"/>
  <c r="L90" i="5"/>
  <c r="I152" i="5"/>
  <c r="F152" i="5"/>
  <c r="D216" i="5"/>
  <c r="D217" i="22" s="1"/>
  <c r="I201" i="5"/>
  <c r="J121" i="5" l="1"/>
  <c r="J217" i="5"/>
  <c r="J6" i="14"/>
  <c r="I8" i="14"/>
  <c r="I11" i="14" s="1"/>
  <c r="G212" i="5"/>
  <c r="G178" i="5"/>
  <c r="G179" i="5" s="1"/>
  <c r="G13" i="14"/>
  <c r="H10" i="14" s="1"/>
  <c r="F212" i="5"/>
  <c r="F178" i="5"/>
  <c r="H212" i="5"/>
  <c r="H178" i="5"/>
  <c r="H179" i="5" s="1"/>
  <c r="L160" i="5"/>
  <c r="L151" i="5" s="1"/>
  <c r="L113" i="5"/>
  <c r="J122" i="5"/>
  <c r="J120" i="5"/>
  <c r="J118" i="5"/>
  <c r="J119" i="5"/>
  <c r="K110" i="5"/>
  <c r="K152" i="5"/>
  <c r="J111" i="5"/>
  <c r="J123" i="5"/>
  <c r="N84" i="5"/>
  <c r="M88" i="5"/>
  <c r="M90" i="5"/>
  <c r="J152" i="5"/>
  <c r="L115" i="5"/>
  <c r="J201" i="5"/>
  <c r="K121" i="5" l="1"/>
  <c r="K217" i="5"/>
  <c r="K6" i="14"/>
  <c r="J8" i="14"/>
  <c r="J11" i="14" s="1"/>
  <c r="H12" i="14"/>
  <c r="H220" i="5" s="1"/>
  <c r="M160" i="5"/>
  <c r="M113" i="5"/>
  <c r="L110" i="5"/>
  <c r="K122" i="5"/>
  <c r="K118" i="5"/>
  <c r="K120" i="5"/>
  <c r="K119" i="5"/>
  <c r="F179" i="5"/>
  <c r="K111" i="5"/>
  <c r="K211" i="5"/>
  <c r="K123" i="5"/>
  <c r="M115" i="5"/>
  <c r="J211" i="5"/>
  <c r="J178" i="5" s="1"/>
  <c r="L152" i="5"/>
  <c r="O84" i="5"/>
  <c r="N88" i="5"/>
  <c r="N90" i="5"/>
  <c r="K201" i="5"/>
  <c r="L217" i="5" l="1"/>
  <c r="L6" i="14"/>
  <c r="K8" i="14"/>
  <c r="K11" i="14" s="1"/>
  <c r="L121" i="5"/>
  <c r="H13" i="14"/>
  <c r="I10" i="14" s="1"/>
  <c r="K212" i="5"/>
  <c r="K178" i="5"/>
  <c r="K179" i="5" s="1"/>
  <c r="H218" i="5"/>
  <c r="N160" i="5"/>
  <c r="N151" i="5" s="1"/>
  <c r="N113" i="5"/>
  <c r="M110" i="5"/>
  <c r="L118" i="5"/>
  <c r="L122" i="5"/>
  <c r="L120" i="5"/>
  <c r="L119" i="5"/>
  <c r="P84" i="5"/>
  <c r="O88" i="5"/>
  <c r="O90" i="5"/>
  <c r="L123" i="5"/>
  <c r="L111" i="5"/>
  <c r="M151" i="5"/>
  <c r="N115" i="5"/>
  <c r="J212" i="5"/>
  <c r="L201" i="5"/>
  <c r="D201" i="5" s="1"/>
  <c r="D202" i="22" s="1"/>
  <c r="M217" i="5" l="1"/>
  <c r="M211" i="5" s="1"/>
  <c r="I12" i="14"/>
  <c r="I220" i="5" s="1"/>
  <c r="M6" i="14"/>
  <c r="L8" i="14"/>
  <c r="L11" i="14" s="1"/>
  <c r="O113" i="5"/>
  <c r="O160" i="5"/>
  <c r="O151" i="5" s="1"/>
  <c r="M120" i="5"/>
  <c r="M118" i="5"/>
  <c r="M122" i="5"/>
  <c r="M119" i="5"/>
  <c r="N110" i="5"/>
  <c r="M121" i="5"/>
  <c r="M152" i="5"/>
  <c r="O115" i="5"/>
  <c r="N152" i="5"/>
  <c r="L211" i="5"/>
  <c r="L178" i="5" s="1"/>
  <c r="J179" i="5"/>
  <c r="M123" i="5"/>
  <c r="M111" i="5"/>
  <c r="Q84" i="5"/>
  <c r="P88" i="5"/>
  <c r="P90" i="5"/>
  <c r="M201" i="5"/>
  <c r="N217" i="5" l="1"/>
  <c r="N211" i="5" s="1"/>
  <c r="N6" i="14"/>
  <c r="M8" i="14"/>
  <c r="M11" i="14" s="1"/>
  <c r="M212" i="5"/>
  <c r="M178" i="5"/>
  <c r="M179" i="5" s="1"/>
  <c r="I13" i="14"/>
  <c r="J10" i="14" s="1"/>
  <c r="J12" i="14" s="1"/>
  <c r="N121" i="5"/>
  <c r="I218" i="5"/>
  <c r="P113" i="5"/>
  <c r="P160" i="5"/>
  <c r="N118" i="5"/>
  <c r="N122" i="5"/>
  <c r="N120" i="5"/>
  <c r="N119" i="5"/>
  <c r="O110" i="5"/>
  <c r="R84" i="5"/>
  <c r="Q88" i="5"/>
  <c r="Q90" i="5"/>
  <c r="O152" i="5"/>
  <c r="P115" i="5"/>
  <c r="L212" i="5"/>
  <c r="N111" i="5"/>
  <c r="N123" i="5"/>
  <c r="N201" i="5"/>
  <c r="O121" i="5" l="1"/>
  <c r="N212" i="5"/>
  <c r="N178" i="5"/>
  <c r="N179" i="5" s="1"/>
  <c r="O123" i="5"/>
  <c r="O217" i="5"/>
  <c r="O211" i="5" s="1"/>
  <c r="J13" i="14"/>
  <c r="K10" i="14" s="1"/>
  <c r="J220" i="5"/>
  <c r="O6" i="14"/>
  <c r="N8" i="14"/>
  <c r="N11" i="14" s="1"/>
  <c r="Q160" i="5"/>
  <c r="Q113" i="5"/>
  <c r="O118" i="5"/>
  <c r="O122" i="5"/>
  <c r="O120" i="5"/>
  <c r="O119" i="5"/>
  <c r="P110" i="5"/>
  <c r="P121" i="5" s="1"/>
  <c r="O111" i="5"/>
  <c r="Q115" i="5"/>
  <c r="Q151" i="5"/>
  <c r="P151" i="5"/>
  <c r="L179" i="5"/>
  <c r="S84" i="5"/>
  <c r="R88" i="5"/>
  <c r="R90" i="5"/>
  <c r="O201" i="5"/>
  <c r="P217" i="5" l="1"/>
  <c r="J218" i="5"/>
  <c r="K12" i="14"/>
  <c r="K220" i="5" s="1"/>
  <c r="K218" i="5" s="1"/>
  <c r="O212" i="5"/>
  <c r="O178" i="5"/>
  <c r="O179" i="5" s="1"/>
  <c r="P6" i="14"/>
  <c r="O8" i="14"/>
  <c r="O11" i="14" s="1"/>
  <c r="R160" i="5"/>
  <c r="R151" i="5" s="1"/>
  <c r="R113" i="5"/>
  <c r="Q110" i="5"/>
  <c r="P120" i="5"/>
  <c r="P122" i="5"/>
  <c r="P118" i="5"/>
  <c r="P119" i="5"/>
  <c r="D113" i="5"/>
  <c r="D114" i="22" s="1"/>
  <c r="E114" i="22" s="1"/>
  <c r="S88" i="5"/>
  <c r="S90" i="5"/>
  <c r="P152" i="5"/>
  <c r="R115" i="5"/>
  <c r="Q152" i="5"/>
  <c r="P123" i="5"/>
  <c r="P111" i="5"/>
  <c r="D215" i="5"/>
  <c r="D216" i="22" s="1"/>
  <c r="P201" i="5"/>
  <c r="Q217" i="5" l="1"/>
  <c r="Q211" i="5" s="1"/>
  <c r="K13" i="14"/>
  <c r="L10" i="14" s="1"/>
  <c r="Q6" i="14"/>
  <c r="P8" i="14"/>
  <c r="P11" i="14" s="1"/>
  <c r="S160" i="5"/>
  <c r="D88" i="5"/>
  <c r="D89" i="22" s="1"/>
  <c r="E89" i="22" s="1"/>
  <c r="Q118" i="5"/>
  <c r="Q122" i="5"/>
  <c r="Q120" i="5"/>
  <c r="Q119" i="5"/>
  <c r="R110" i="5"/>
  <c r="Q121" i="5"/>
  <c r="Q111" i="5"/>
  <c r="Q123" i="5"/>
  <c r="P211" i="5"/>
  <c r="P178" i="5" s="1"/>
  <c r="R152" i="5"/>
  <c r="S115" i="5"/>
  <c r="D90" i="5"/>
  <c r="D91" i="22" s="1"/>
  <c r="E91" i="22" s="1"/>
  <c r="Q201" i="5"/>
  <c r="Q212" i="5" l="1"/>
  <c r="Q178" i="5"/>
  <c r="R121" i="5"/>
  <c r="R217" i="5"/>
  <c r="R211" i="5" s="1"/>
  <c r="R6" i="14"/>
  <c r="Q8" i="14"/>
  <c r="Q11" i="14" s="1"/>
  <c r="L12" i="14"/>
  <c r="L220" i="5" s="1"/>
  <c r="L218" i="5" s="1"/>
  <c r="S110" i="5"/>
  <c r="R120" i="5"/>
  <c r="R122" i="5"/>
  <c r="R118" i="5"/>
  <c r="R119" i="5"/>
  <c r="S151" i="5"/>
  <c r="D160" i="5"/>
  <c r="D161" i="22" s="1"/>
  <c r="P212" i="5"/>
  <c r="R111" i="5"/>
  <c r="R123" i="5"/>
  <c r="D115" i="5"/>
  <c r="D116" i="22" s="1"/>
  <c r="E116" i="22" s="1"/>
  <c r="R201" i="5"/>
  <c r="L13" i="14" l="1"/>
  <c r="M10" i="14" s="1"/>
  <c r="M12" i="14" s="1"/>
  <c r="M220" i="5" s="1"/>
  <c r="M218" i="5" s="1"/>
  <c r="S121" i="5"/>
  <c r="S217" i="5"/>
  <c r="R212" i="5"/>
  <c r="R178" i="5"/>
  <c r="R179" i="5" s="1"/>
  <c r="S6" i="14"/>
  <c r="S8" i="14" s="1"/>
  <c r="S11" i="14" s="1"/>
  <c r="R8" i="14"/>
  <c r="R11" i="14" s="1"/>
  <c r="S119" i="5"/>
  <c r="S118" i="5"/>
  <c r="S120" i="5"/>
  <c r="S122" i="5"/>
  <c r="Q179" i="5"/>
  <c r="P179" i="5"/>
  <c r="S123" i="5"/>
  <c r="D123" i="5" s="1"/>
  <c r="D124" i="22" s="1"/>
  <c r="E124" i="22" s="1"/>
  <c r="S111" i="5"/>
  <c r="D110" i="5"/>
  <c r="D111" i="22" s="1"/>
  <c r="E111" i="22" s="1"/>
  <c r="S152" i="5"/>
  <c r="D151" i="5"/>
  <c r="S201" i="5"/>
  <c r="D200" i="5"/>
  <c r="D201" i="22" s="1"/>
  <c r="D152" i="5" l="1"/>
  <c r="D153" i="22" s="1"/>
  <c r="D152" i="22"/>
  <c r="M13" i="14"/>
  <c r="N10" i="14" s="1"/>
  <c r="N12" i="14" s="1"/>
  <c r="N220" i="5" s="1"/>
  <c r="N218" i="5" s="1"/>
  <c r="D121" i="5"/>
  <c r="D122" i="22" s="1"/>
  <c r="E122" i="22" s="1"/>
  <c r="D119" i="5"/>
  <c r="D120" i="22" s="1"/>
  <c r="E120" i="22" s="1"/>
  <c r="S211" i="5"/>
  <c r="D217" i="5"/>
  <c r="D218" i="22" s="1"/>
  <c r="D111" i="5"/>
  <c r="D112" i="22" s="1"/>
  <c r="E112" i="22" s="1"/>
  <c r="D122" i="5"/>
  <c r="D123" i="22" s="1"/>
  <c r="E123" i="22" s="1"/>
  <c r="D118" i="5"/>
  <c r="D119" i="22" s="1"/>
  <c r="E119" i="22" s="1"/>
  <c r="D120" i="5"/>
  <c r="D121" i="22" s="1"/>
  <c r="E121" i="22" s="1"/>
  <c r="N13" i="14" l="1"/>
  <c r="O10" i="14" s="1"/>
  <c r="O12" i="14" s="1"/>
  <c r="O220" i="5" s="1"/>
  <c r="O218" i="5" s="1"/>
  <c r="D211" i="5"/>
  <c r="S178" i="5"/>
  <c r="D178" i="5" s="1"/>
  <c r="S212" i="5"/>
  <c r="D212" i="5" l="1"/>
  <c r="D213" i="22" s="1"/>
  <c r="D212" i="22"/>
  <c r="D179" i="5"/>
  <c r="D180" i="22" s="1"/>
  <c r="D179" i="22"/>
  <c r="O13" i="14"/>
  <c r="P10" i="14" s="1"/>
  <c r="P12" i="14" s="1"/>
  <c r="P220" i="5" s="1"/>
  <c r="P218" i="5" s="1"/>
  <c r="S179" i="5"/>
  <c r="P13" i="14" l="1"/>
  <c r="Q10" i="14" s="1"/>
  <c r="Q12" i="14" s="1"/>
  <c r="Q220" i="5" s="1"/>
  <c r="Q218" i="5" s="1"/>
  <c r="D20" i="4"/>
  <c r="D19" i="4"/>
  <c r="D18" i="4"/>
  <c r="D17" i="4"/>
  <c r="D16" i="4"/>
  <c r="F106" i="1" s="1"/>
  <c r="D15" i="4"/>
  <c r="D14" i="4"/>
  <c r="D13" i="4"/>
  <c r="D12" i="4"/>
  <c r="D11" i="4"/>
  <c r="D10" i="4"/>
  <c r="D9" i="4"/>
  <c r="D8" i="4"/>
  <c r="D7" i="4"/>
  <c r="D6" i="4"/>
  <c r="D5" i="4"/>
  <c r="D4" i="4"/>
  <c r="F83" i="1"/>
  <c r="F173" i="5" s="1"/>
  <c r="F82" i="1"/>
  <c r="F171" i="5" s="1"/>
  <c r="F81" i="1"/>
  <c r="F167" i="5" s="1"/>
  <c r="F80" i="1"/>
  <c r="F169" i="5" s="1"/>
  <c r="F79" i="1"/>
  <c r="F165" i="5" s="1"/>
  <c r="G167" i="5" l="1"/>
  <c r="F168" i="5"/>
  <c r="G173" i="5"/>
  <c r="F174" i="5"/>
  <c r="G171" i="5"/>
  <c r="F172" i="5"/>
  <c r="G165" i="5"/>
  <c r="F166" i="5"/>
  <c r="G169" i="5"/>
  <c r="F170" i="5"/>
  <c r="Q13" i="14"/>
  <c r="R10" i="14" s="1"/>
  <c r="R12" i="14" s="1"/>
  <c r="R220" i="5" s="1"/>
  <c r="R218" i="5" s="1"/>
  <c r="G106" i="1"/>
  <c r="H106" i="1"/>
  <c r="F99" i="1"/>
  <c r="G73" i="1"/>
  <c r="H73" i="1" s="1"/>
  <c r="G123" i="1"/>
  <c r="G122" i="1"/>
  <c r="G121" i="1"/>
  <c r="G133" i="1"/>
  <c r="H133" i="1" s="1"/>
  <c r="G132" i="1"/>
  <c r="H132" i="1" s="1"/>
  <c r="G131" i="1"/>
  <c r="H131" i="1" s="1"/>
  <c r="G130" i="1"/>
  <c r="H130" i="1" s="1"/>
  <c r="G129" i="1"/>
  <c r="G128" i="1"/>
  <c r="G127" i="1"/>
  <c r="G126" i="1"/>
  <c r="G125" i="1"/>
  <c r="G120" i="1"/>
  <c r="G119" i="1"/>
  <c r="H119" i="1" s="1"/>
  <c r="G118" i="1"/>
  <c r="G117" i="1"/>
  <c r="G116" i="1"/>
  <c r="G115" i="1"/>
  <c r="G114" i="1"/>
  <c r="G113" i="1"/>
  <c r="G112" i="1"/>
  <c r="G110" i="1"/>
  <c r="H110" i="1" s="1"/>
  <c r="G109" i="1"/>
  <c r="H109" i="1" s="1"/>
  <c r="G108" i="1"/>
  <c r="H108" i="1" s="1"/>
  <c r="G107" i="1"/>
  <c r="H107" i="1" s="1"/>
  <c r="G105" i="1"/>
  <c r="H105" i="1" s="1"/>
  <c r="G103" i="1"/>
  <c r="H103" i="1" s="1"/>
  <c r="G101" i="1"/>
  <c r="H101" i="1" s="1"/>
  <c r="G84" i="1"/>
  <c r="G83" i="1"/>
  <c r="G82" i="1"/>
  <c r="G81" i="1"/>
  <c r="G80" i="1"/>
  <c r="G79" i="1"/>
  <c r="G78" i="1"/>
  <c r="G77" i="1"/>
  <c r="G76" i="1"/>
  <c r="G75" i="1"/>
  <c r="G74" i="1"/>
  <c r="G72" i="1"/>
  <c r="G71" i="1"/>
  <c r="G70" i="1"/>
  <c r="G69" i="1"/>
  <c r="H69" i="1" s="1"/>
  <c r="G67" i="1"/>
  <c r="G66" i="1"/>
  <c r="H66" i="1" s="1"/>
  <c r="G65" i="1"/>
  <c r="G64" i="1"/>
  <c r="G63" i="1"/>
  <c r="G62" i="1"/>
  <c r="G61" i="1"/>
  <c r="G60" i="1"/>
  <c r="H60" i="1" s="1"/>
  <c r="G56" i="1"/>
  <c r="H56" i="1" s="1"/>
  <c r="G55" i="1"/>
  <c r="H55" i="1" s="1"/>
  <c r="G54" i="1"/>
  <c r="H54" i="1" s="1"/>
  <c r="G53" i="1"/>
  <c r="H53" i="1" s="1"/>
  <c r="G52" i="1"/>
  <c r="H52" i="1" s="1"/>
  <c r="G7" i="1"/>
  <c r="H7" i="1" s="1"/>
  <c r="G6" i="1"/>
  <c r="H6" i="1" s="1"/>
  <c r="G99" i="1"/>
  <c r="H99" i="1" s="1"/>
  <c r="F37" i="1"/>
  <c r="F36" i="1"/>
  <c r="F35" i="1"/>
  <c r="F39" i="1"/>
  <c r="F38" i="1"/>
  <c r="F34" i="1"/>
  <c r="F44" i="1"/>
  <c r="F43" i="1"/>
  <c r="F46" i="1"/>
  <c r="F42" i="1"/>
  <c r="F45" i="1"/>
  <c r="F41" i="1"/>
  <c r="F30" i="1"/>
  <c r="F29" i="1"/>
  <c r="F31" i="1"/>
  <c r="F32" i="1"/>
  <c r="F28" i="1"/>
  <c r="F27" i="1"/>
  <c r="F23" i="1"/>
  <c r="G23" i="1" s="1"/>
  <c r="H23" i="1" s="1"/>
  <c r="F21" i="1"/>
  <c r="G21" i="1" s="1"/>
  <c r="H21" i="1" s="1"/>
  <c r="F19" i="1"/>
  <c r="G19" i="1" s="1"/>
  <c r="H19" i="1" s="1"/>
  <c r="F17" i="1"/>
  <c r="G17" i="1" s="1"/>
  <c r="H17" i="1" s="1"/>
  <c r="F15" i="1"/>
  <c r="G15" i="1" s="1"/>
  <c r="H15" i="1" s="1"/>
  <c r="F13" i="1"/>
  <c r="G13" i="1" s="1"/>
  <c r="H13" i="1" s="1"/>
  <c r="F11" i="1"/>
  <c r="G11" i="1" s="1"/>
  <c r="H11" i="1" s="1"/>
  <c r="F9" i="1"/>
  <c r="G9" i="1" s="1"/>
  <c r="H9" i="1" s="1"/>
  <c r="F22" i="1"/>
  <c r="G22" i="1" s="1"/>
  <c r="H22" i="1" s="1"/>
  <c r="F20" i="1"/>
  <c r="G20" i="1" s="1"/>
  <c r="H20" i="1" s="1"/>
  <c r="F18" i="1"/>
  <c r="G18" i="1" s="1"/>
  <c r="H18" i="1" s="1"/>
  <c r="F16" i="1"/>
  <c r="G16" i="1" s="1"/>
  <c r="H16" i="1" s="1"/>
  <c r="F14" i="1"/>
  <c r="G14" i="1" s="1"/>
  <c r="H14" i="1" s="1"/>
  <c r="F12" i="1"/>
  <c r="G12" i="1" s="1"/>
  <c r="H12" i="1" s="1"/>
  <c r="F10" i="1"/>
  <c r="G10" i="1" s="1"/>
  <c r="H10" i="1" s="1"/>
  <c r="F8" i="1"/>
  <c r="G8" i="1" s="1"/>
  <c r="H8" i="1" s="1"/>
  <c r="B22" i="1"/>
  <c r="B20" i="1"/>
  <c r="B18" i="1"/>
  <c r="B16" i="1"/>
  <c r="B14" i="1"/>
  <c r="B12" i="1"/>
  <c r="B10" i="1"/>
  <c r="B8" i="1"/>
  <c r="H64" i="1" l="1"/>
  <c r="F134" i="21" s="1"/>
  <c r="F134" i="20"/>
  <c r="H74" i="1"/>
  <c r="F153" i="21" s="1"/>
  <c r="F153" i="20"/>
  <c r="H82" i="1"/>
  <c r="F171" i="21" s="1"/>
  <c r="F171" i="20"/>
  <c r="H118" i="1"/>
  <c r="F208" i="21" s="1"/>
  <c r="F208" i="20"/>
  <c r="H171" i="5"/>
  <c r="G172" i="5"/>
  <c r="H81" i="1"/>
  <c r="F167" i="21" s="1"/>
  <c r="F167" i="20"/>
  <c r="H65" i="1"/>
  <c r="F136" i="21" s="1"/>
  <c r="F136" i="20"/>
  <c r="H75" i="1"/>
  <c r="F155" i="21" s="1"/>
  <c r="F155" i="20"/>
  <c r="H83" i="1"/>
  <c r="F173" i="21" s="1"/>
  <c r="F173" i="20"/>
  <c r="H76" i="1"/>
  <c r="F157" i="21" s="1"/>
  <c r="F157" i="20"/>
  <c r="H84" i="1"/>
  <c r="F175" i="21" s="1"/>
  <c r="F175" i="20"/>
  <c r="H112" i="1"/>
  <c r="H120" i="1"/>
  <c r="F205" i="21" s="1"/>
  <c r="F205" i="20"/>
  <c r="H169" i="5"/>
  <c r="G170" i="5"/>
  <c r="H72" i="1"/>
  <c r="F149" i="21" s="1"/>
  <c r="F149" i="20"/>
  <c r="H117" i="1"/>
  <c r="F210" i="21"/>
  <c r="F210" i="20"/>
  <c r="H67" i="1"/>
  <c r="F138" i="21" s="1"/>
  <c r="F138" i="20"/>
  <c r="H77" i="1"/>
  <c r="F159" i="21" s="1"/>
  <c r="F159" i="20"/>
  <c r="H113" i="1"/>
  <c r="H125" i="1"/>
  <c r="D198" i="21" s="1"/>
  <c r="D198" i="20"/>
  <c r="F163" i="5"/>
  <c r="H173" i="5"/>
  <c r="G174" i="5"/>
  <c r="H78" i="1"/>
  <c r="F161" i="21" s="1"/>
  <c r="F161" i="20"/>
  <c r="H114" i="1"/>
  <c r="I217" i="20"/>
  <c r="Q217" i="20"/>
  <c r="J217" i="20"/>
  <c r="R217" i="20"/>
  <c r="K217" i="20"/>
  <c r="F217" i="20"/>
  <c r="L217" i="20"/>
  <c r="M217" i="20"/>
  <c r="N217" i="20"/>
  <c r="G217" i="20"/>
  <c r="O217" i="20"/>
  <c r="H217" i="20"/>
  <c r="P217" i="20"/>
  <c r="H126" i="1"/>
  <c r="D199" i="21" s="1"/>
  <c r="D199" i="20"/>
  <c r="H121" i="1"/>
  <c r="F204" i="21" s="1"/>
  <c r="F204" i="20"/>
  <c r="R13" i="14"/>
  <c r="S10" i="14" s="1"/>
  <c r="S12" i="14" s="1"/>
  <c r="S13" i="14" s="1"/>
  <c r="H61" i="1"/>
  <c r="F128" i="21"/>
  <c r="F128" i="20"/>
  <c r="H70" i="1"/>
  <c r="F145" i="21" s="1"/>
  <c r="F145" i="20"/>
  <c r="H79" i="1"/>
  <c r="F165" i="21" s="1"/>
  <c r="F165" i="20"/>
  <c r="H115" i="1"/>
  <c r="F213" i="20"/>
  <c r="G213" i="20"/>
  <c r="H213" i="20"/>
  <c r="I213" i="20"/>
  <c r="J213" i="20"/>
  <c r="K213" i="20"/>
  <c r="L213" i="20"/>
  <c r="M213" i="20"/>
  <c r="N213" i="20"/>
  <c r="O213" i="20"/>
  <c r="P213" i="20"/>
  <c r="Q213" i="20"/>
  <c r="R213" i="20"/>
  <c r="H127" i="1"/>
  <c r="D195" i="21" s="1"/>
  <c r="D195" i="20"/>
  <c r="H122" i="1"/>
  <c r="F202" i="21" s="1"/>
  <c r="F202" i="20"/>
  <c r="H165" i="5"/>
  <c r="G166" i="5"/>
  <c r="H63" i="1"/>
  <c r="F132" i="21" s="1"/>
  <c r="F132" i="20"/>
  <c r="H129" i="1"/>
  <c r="D197" i="21" s="1"/>
  <c r="D197" i="20"/>
  <c r="H62" i="1"/>
  <c r="F130" i="21" s="1"/>
  <c r="F130" i="20"/>
  <c r="H71" i="1"/>
  <c r="F147" i="21" s="1"/>
  <c r="F147" i="20"/>
  <c r="H80" i="1"/>
  <c r="F169" i="21" s="1"/>
  <c r="F169" i="20"/>
  <c r="H116" i="1"/>
  <c r="F203" i="21" s="1"/>
  <c r="F203" i="20"/>
  <c r="H128" i="1"/>
  <c r="D196" i="21" s="1"/>
  <c r="D196" i="20"/>
  <c r="H123" i="1"/>
  <c r="F200" i="21" s="1"/>
  <c r="F200" i="20"/>
  <c r="H167" i="5"/>
  <c r="G168" i="5"/>
  <c r="D145" i="5"/>
  <c r="D146" i="22" s="1"/>
  <c r="M146" i="5"/>
  <c r="N146" i="5"/>
  <c r="R146" i="5"/>
  <c r="K146" i="5"/>
  <c r="I146" i="5"/>
  <c r="J146" i="5"/>
  <c r="L146" i="5"/>
  <c r="O146" i="5"/>
  <c r="P146" i="5"/>
  <c r="H146" i="5"/>
  <c r="Q146" i="5"/>
  <c r="S146" i="5"/>
  <c r="S150" i="5"/>
  <c r="I150" i="5"/>
  <c r="K150" i="5"/>
  <c r="P150" i="5"/>
  <c r="L150" i="5"/>
  <c r="D149" i="5"/>
  <c r="D150" i="22" s="1"/>
  <c r="O150" i="5"/>
  <c r="N150" i="5"/>
  <c r="R150" i="5"/>
  <c r="J150" i="5"/>
  <c r="H150" i="5"/>
  <c r="M150" i="5"/>
  <c r="Q150" i="5"/>
  <c r="G163" i="5" l="1"/>
  <c r="G132" i="21"/>
  <c r="F133" i="21"/>
  <c r="G200" i="20"/>
  <c r="F201" i="20"/>
  <c r="G147" i="20"/>
  <c r="F148" i="20"/>
  <c r="G164" i="5"/>
  <c r="G140" i="5"/>
  <c r="G128" i="20"/>
  <c r="F129" i="20"/>
  <c r="H200" i="22"/>
  <c r="F199" i="21"/>
  <c r="F187" i="21" s="1"/>
  <c r="G199" i="21"/>
  <c r="D217" i="20"/>
  <c r="F218" i="22" s="1"/>
  <c r="E218" i="22" s="1"/>
  <c r="G161" i="21"/>
  <c r="F162" i="21"/>
  <c r="G149" i="20"/>
  <c r="F150" i="20"/>
  <c r="G175" i="21"/>
  <c r="F176" i="21"/>
  <c r="G136" i="20"/>
  <c r="F137" i="20"/>
  <c r="F206" i="21"/>
  <c r="G208" i="21"/>
  <c r="G208" i="20"/>
  <c r="F206" i="20"/>
  <c r="G200" i="21"/>
  <c r="F201" i="21"/>
  <c r="G147" i="21"/>
  <c r="F148" i="21"/>
  <c r="I165" i="5"/>
  <c r="H166" i="5"/>
  <c r="G128" i="21"/>
  <c r="F129" i="21"/>
  <c r="G159" i="20"/>
  <c r="F160" i="20"/>
  <c r="G149" i="21"/>
  <c r="F150" i="21"/>
  <c r="G157" i="20"/>
  <c r="F158" i="20"/>
  <c r="G136" i="21"/>
  <c r="F137" i="21"/>
  <c r="G171" i="20"/>
  <c r="F172" i="20"/>
  <c r="F200" i="22"/>
  <c r="E200" i="22" s="1"/>
  <c r="F199" i="20"/>
  <c r="F187" i="20" s="1"/>
  <c r="G199" i="20"/>
  <c r="G155" i="21"/>
  <c r="F156" i="21"/>
  <c r="F197" i="22"/>
  <c r="E197" i="22" s="1"/>
  <c r="G196" i="20"/>
  <c r="F196" i="20"/>
  <c r="F184" i="20" s="1"/>
  <c r="G130" i="20"/>
  <c r="F131" i="20"/>
  <c r="G202" i="20"/>
  <c r="H202" i="20" s="1"/>
  <c r="I202" i="20" s="1"/>
  <c r="J202" i="20" s="1"/>
  <c r="K202" i="20" s="1"/>
  <c r="L202" i="20" s="1"/>
  <c r="M202" i="20" s="1"/>
  <c r="N202" i="20" s="1"/>
  <c r="O202" i="20" s="1"/>
  <c r="P202" i="20" s="1"/>
  <c r="Q202" i="20" s="1"/>
  <c r="R202" i="20" s="1"/>
  <c r="D213" i="20"/>
  <c r="F214" i="22" s="1"/>
  <c r="E214" i="22" s="1"/>
  <c r="I173" i="5"/>
  <c r="H174" i="5"/>
  <c r="G159" i="21"/>
  <c r="F160" i="21"/>
  <c r="G157" i="21"/>
  <c r="F158" i="21"/>
  <c r="G167" i="20"/>
  <c r="F168" i="20"/>
  <c r="G171" i="21"/>
  <c r="F172" i="21"/>
  <c r="G169" i="21"/>
  <c r="F170" i="21"/>
  <c r="G161" i="20"/>
  <c r="F162" i="20"/>
  <c r="G175" i="20"/>
  <c r="F176" i="20"/>
  <c r="G196" i="21"/>
  <c r="H197" i="22"/>
  <c r="G197" i="22" s="1"/>
  <c r="F196" i="21"/>
  <c r="F184" i="21" s="1"/>
  <c r="G130" i="21"/>
  <c r="F131" i="21"/>
  <c r="G202" i="21"/>
  <c r="H202" i="21" s="1"/>
  <c r="I202" i="21" s="1"/>
  <c r="J202" i="21" s="1"/>
  <c r="K202" i="21" s="1"/>
  <c r="L202" i="21" s="1"/>
  <c r="M202" i="21" s="1"/>
  <c r="N202" i="21" s="1"/>
  <c r="O202" i="21" s="1"/>
  <c r="P202" i="21" s="1"/>
  <c r="Q202" i="21" s="1"/>
  <c r="J213" i="21"/>
  <c r="G213" i="21"/>
  <c r="K213" i="21"/>
  <c r="L213" i="21"/>
  <c r="M213" i="21"/>
  <c r="N213" i="21"/>
  <c r="F213" i="21"/>
  <c r="O213" i="21"/>
  <c r="H213" i="21"/>
  <c r="P213" i="21"/>
  <c r="I213" i="21"/>
  <c r="Q213" i="21"/>
  <c r="G138" i="20"/>
  <c r="F139" i="20"/>
  <c r="I169" i="5"/>
  <c r="H170" i="5"/>
  <c r="G167" i="21"/>
  <c r="F168" i="21"/>
  <c r="G153" i="20"/>
  <c r="F154" i="20"/>
  <c r="G203" i="20"/>
  <c r="H203" i="20" s="1"/>
  <c r="I203" i="20" s="1"/>
  <c r="J203" i="20" s="1"/>
  <c r="K203" i="20" s="1"/>
  <c r="L203" i="20" s="1"/>
  <c r="M203" i="20" s="1"/>
  <c r="N203" i="20" s="1"/>
  <c r="O203" i="20" s="1"/>
  <c r="P203" i="20" s="1"/>
  <c r="Q203" i="20" s="1"/>
  <c r="R203" i="20" s="1"/>
  <c r="F197" i="20"/>
  <c r="F185" i="20" s="1"/>
  <c r="F198" i="22"/>
  <c r="E198" i="22" s="1"/>
  <c r="G197" i="20"/>
  <c r="F196" i="22"/>
  <c r="E196" i="22" s="1"/>
  <c r="G195" i="20"/>
  <c r="F195" i="20"/>
  <c r="F183" i="20" s="1"/>
  <c r="G165" i="20"/>
  <c r="F166" i="20"/>
  <c r="F164" i="5"/>
  <c r="F140" i="5"/>
  <c r="G138" i="21"/>
  <c r="F139" i="21"/>
  <c r="G205" i="20"/>
  <c r="H205" i="20" s="1"/>
  <c r="I205" i="20" s="1"/>
  <c r="J205" i="20" s="1"/>
  <c r="K205" i="20" s="1"/>
  <c r="L205" i="20" s="1"/>
  <c r="M205" i="20" s="1"/>
  <c r="N205" i="20" s="1"/>
  <c r="O205" i="20" s="1"/>
  <c r="P205" i="20" s="1"/>
  <c r="Q205" i="20" s="1"/>
  <c r="R205" i="20" s="1"/>
  <c r="G173" i="20"/>
  <c r="F174" i="20"/>
  <c r="G153" i="21"/>
  <c r="F154" i="21"/>
  <c r="G145" i="21"/>
  <c r="F146" i="21"/>
  <c r="G203" i="21"/>
  <c r="H203" i="21" s="1"/>
  <c r="I203" i="21" s="1"/>
  <c r="J203" i="21" s="1"/>
  <c r="K203" i="21" s="1"/>
  <c r="L203" i="21" s="1"/>
  <c r="M203" i="21" s="1"/>
  <c r="N203" i="21" s="1"/>
  <c r="O203" i="21" s="1"/>
  <c r="P203" i="21" s="1"/>
  <c r="Q203" i="21" s="1"/>
  <c r="H198" i="22"/>
  <c r="F197" i="21"/>
  <c r="F185" i="21" s="1"/>
  <c r="G197" i="21"/>
  <c r="F195" i="21"/>
  <c r="F183" i="21" s="1"/>
  <c r="H196" i="22"/>
  <c r="G195" i="21"/>
  <c r="G165" i="21"/>
  <c r="F166" i="21"/>
  <c r="G204" i="20"/>
  <c r="H204" i="20" s="1"/>
  <c r="I204" i="20" s="1"/>
  <c r="J204" i="20" s="1"/>
  <c r="K204" i="20" s="1"/>
  <c r="L204" i="20" s="1"/>
  <c r="M204" i="20" s="1"/>
  <c r="N204" i="20" s="1"/>
  <c r="O204" i="20" s="1"/>
  <c r="P204" i="20" s="1"/>
  <c r="Q204" i="20" s="1"/>
  <c r="R204" i="20" s="1"/>
  <c r="F199" i="22"/>
  <c r="E199" i="22" s="1"/>
  <c r="G198" i="20"/>
  <c r="F198" i="20"/>
  <c r="F186" i="20" s="1"/>
  <c r="G210" i="20"/>
  <c r="H210" i="20" s="1"/>
  <c r="I210" i="20" s="1"/>
  <c r="J210" i="20" s="1"/>
  <c r="K210" i="20" s="1"/>
  <c r="L210" i="20" s="1"/>
  <c r="M210" i="20" s="1"/>
  <c r="N210" i="20" s="1"/>
  <c r="O210" i="20" s="1"/>
  <c r="P210" i="20" s="1"/>
  <c r="Q210" i="20" s="1"/>
  <c r="R210" i="20" s="1"/>
  <c r="G205" i="21"/>
  <c r="H205" i="21" s="1"/>
  <c r="I205" i="21" s="1"/>
  <c r="J205" i="21" s="1"/>
  <c r="K205" i="21" s="1"/>
  <c r="L205" i="21" s="1"/>
  <c r="M205" i="21" s="1"/>
  <c r="N205" i="21" s="1"/>
  <c r="O205" i="21" s="1"/>
  <c r="P205" i="21" s="1"/>
  <c r="Q205" i="21" s="1"/>
  <c r="D205" i="21"/>
  <c r="H206" i="22" s="1"/>
  <c r="G173" i="21"/>
  <c r="F174" i="21"/>
  <c r="I171" i="5"/>
  <c r="H172" i="5"/>
  <c r="G134" i="20"/>
  <c r="H134" i="20" s="1"/>
  <c r="I134" i="20" s="1"/>
  <c r="J134" i="20" s="1"/>
  <c r="K134" i="20" s="1"/>
  <c r="L134" i="20" s="1"/>
  <c r="M134" i="20" s="1"/>
  <c r="N134" i="20" s="1"/>
  <c r="O134" i="20" s="1"/>
  <c r="P134" i="20" s="1"/>
  <c r="Q134" i="20" s="1"/>
  <c r="R134" i="20" s="1"/>
  <c r="I167" i="5"/>
  <c r="H168" i="5"/>
  <c r="G169" i="20"/>
  <c r="F170" i="20"/>
  <c r="G132" i="20"/>
  <c r="F133" i="20"/>
  <c r="G145" i="20"/>
  <c r="F146" i="20"/>
  <c r="G204" i="21"/>
  <c r="H204" i="21" s="1"/>
  <c r="I204" i="21" s="1"/>
  <c r="J204" i="21" s="1"/>
  <c r="K204" i="21" s="1"/>
  <c r="L204" i="21" s="1"/>
  <c r="M204" i="21" s="1"/>
  <c r="N204" i="21" s="1"/>
  <c r="O204" i="21" s="1"/>
  <c r="P204" i="21" s="1"/>
  <c r="Q204" i="21" s="1"/>
  <c r="I217" i="21"/>
  <c r="Q217" i="21"/>
  <c r="J217" i="21"/>
  <c r="F217" i="21"/>
  <c r="K217" i="21"/>
  <c r="L217" i="21"/>
  <c r="M217" i="21"/>
  <c r="N217" i="21"/>
  <c r="G217" i="21"/>
  <c r="O217" i="21"/>
  <c r="H217" i="21"/>
  <c r="P217" i="21"/>
  <c r="H199" i="22"/>
  <c r="G199" i="22" s="1"/>
  <c r="G198" i="21"/>
  <c r="F198" i="21"/>
  <c r="F186" i="21" s="1"/>
  <c r="G210" i="21"/>
  <c r="H210" i="21" s="1"/>
  <c r="I210" i="21" s="1"/>
  <c r="J210" i="21" s="1"/>
  <c r="K210" i="21" s="1"/>
  <c r="L210" i="21" s="1"/>
  <c r="M210" i="21" s="1"/>
  <c r="N210" i="21" s="1"/>
  <c r="O210" i="21" s="1"/>
  <c r="P210" i="21" s="1"/>
  <c r="Q210" i="21" s="1"/>
  <c r="G155" i="20"/>
  <c r="F156" i="20"/>
  <c r="G134" i="21"/>
  <c r="H134" i="21" s="1"/>
  <c r="I134" i="21" s="1"/>
  <c r="J134" i="21" s="1"/>
  <c r="K134" i="21" s="1"/>
  <c r="L134" i="21" s="1"/>
  <c r="M134" i="21" s="1"/>
  <c r="N134" i="21" s="1"/>
  <c r="O134" i="21" s="1"/>
  <c r="P134" i="21" s="1"/>
  <c r="Q134" i="21" s="1"/>
  <c r="D12" i="14"/>
  <c r="S220" i="5"/>
  <c r="I143" i="5"/>
  <c r="I144" i="5" s="1"/>
  <c r="D150" i="5"/>
  <c r="D151" i="22" s="1"/>
  <c r="Q143" i="5"/>
  <c r="Q144" i="5" s="1"/>
  <c r="P143" i="5"/>
  <c r="M143" i="5"/>
  <c r="M144" i="5" s="1"/>
  <c r="S143" i="5"/>
  <c r="O143" i="5"/>
  <c r="O144" i="5" s="1"/>
  <c r="K143" i="5"/>
  <c r="K144" i="5" s="1"/>
  <c r="L143" i="5"/>
  <c r="R143" i="5"/>
  <c r="R144" i="5" s="1"/>
  <c r="J143" i="5"/>
  <c r="N143" i="5"/>
  <c r="N144" i="5" s="1"/>
  <c r="D146" i="5"/>
  <c r="D147" i="22" s="1"/>
  <c r="H143" i="5"/>
  <c r="H144" i="5" s="1"/>
  <c r="D203" i="20" l="1"/>
  <c r="F204" i="22" s="1"/>
  <c r="E204" i="22" s="1"/>
  <c r="D134" i="21"/>
  <c r="H135" i="22" s="1"/>
  <c r="D204" i="20"/>
  <c r="F205" i="22" s="1"/>
  <c r="E205" i="22" s="1"/>
  <c r="D204" i="21"/>
  <c r="H205" i="22" s="1"/>
  <c r="G205" i="22" s="1"/>
  <c r="D202" i="21"/>
  <c r="H203" i="22" s="1"/>
  <c r="D202" i="20"/>
  <c r="F203" i="22" s="1"/>
  <c r="E203" i="22" s="1"/>
  <c r="F141" i="5"/>
  <c r="F222" i="5"/>
  <c r="G206" i="20"/>
  <c r="G207" i="20" s="1"/>
  <c r="H208" i="20"/>
  <c r="H155" i="20"/>
  <c r="G156" i="20"/>
  <c r="H157" i="21"/>
  <c r="G158" i="21"/>
  <c r="H196" i="20"/>
  <c r="G184" i="20"/>
  <c r="H157" i="20"/>
  <c r="G158" i="20"/>
  <c r="H200" i="20"/>
  <c r="G201" i="20"/>
  <c r="J171" i="5"/>
  <c r="I172" i="5"/>
  <c r="H169" i="21"/>
  <c r="G170" i="21"/>
  <c r="H161" i="21"/>
  <c r="G162" i="21"/>
  <c r="H198" i="20"/>
  <c r="G186" i="20"/>
  <c r="H195" i="21"/>
  <c r="G183" i="21"/>
  <c r="H173" i="20"/>
  <c r="G174" i="20"/>
  <c r="H197" i="20"/>
  <c r="G185" i="20"/>
  <c r="H138" i="20"/>
  <c r="G139" i="20"/>
  <c r="D210" i="21"/>
  <c r="H211" i="22" s="1"/>
  <c r="J167" i="5"/>
  <c r="I168" i="5"/>
  <c r="G196" i="22"/>
  <c r="F143" i="21"/>
  <c r="D205" i="20"/>
  <c r="F206" i="22" s="1"/>
  <c r="E206" i="22" s="1"/>
  <c r="H175" i="20"/>
  <c r="G176" i="20"/>
  <c r="H128" i="21"/>
  <c r="G129" i="21"/>
  <c r="H147" i="21"/>
  <c r="G148" i="21"/>
  <c r="H175" i="21"/>
  <c r="G176" i="21"/>
  <c r="H199" i="21"/>
  <c r="G187" i="21"/>
  <c r="G141" i="5"/>
  <c r="G222" i="5"/>
  <c r="D213" i="21"/>
  <c r="H214" i="22" s="1"/>
  <c r="G214" i="22" s="1"/>
  <c r="H208" i="21"/>
  <c r="G206" i="21"/>
  <c r="G207" i="21" s="1"/>
  <c r="F125" i="21"/>
  <c r="H153" i="20"/>
  <c r="G154" i="20"/>
  <c r="H173" i="21"/>
  <c r="G174" i="21"/>
  <c r="H132" i="20"/>
  <c r="G133" i="20"/>
  <c r="D134" i="20"/>
  <c r="F135" i="22" s="1"/>
  <c r="E135" i="22" s="1"/>
  <c r="G206" i="22"/>
  <c r="H197" i="21"/>
  <c r="G185" i="21"/>
  <c r="H165" i="20"/>
  <c r="G166" i="20"/>
  <c r="H130" i="21"/>
  <c r="G131" i="21"/>
  <c r="H159" i="21"/>
  <c r="G160" i="21"/>
  <c r="H149" i="21"/>
  <c r="G150" i="21"/>
  <c r="F207" i="21"/>
  <c r="G200" i="22"/>
  <c r="H132" i="21"/>
  <c r="G133" i="21"/>
  <c r="H171" i="20"/>
  <c r="G172" i="20"/>
  <c r="H198" i="21"/>
  <c r="G186" i="21"/>
  <c r="F151" i="21"/>
  <c r="H161" i="20"/>
  <c r="G162" i="20"/>
  <c r="H155" i="21"/>
  <c r="G156" i="21"/>
  <c r="G201" i="21"/>
  <c r="H200" i="21"/>
  <c r="G150" i="20"/>
  <c r="H149" i="20"/>
  <c r="H145" i="21"/>
  <c r="G146" i="21"/>
  <c r="H167" i="21"/>
  <c r="G168" i="21"/>
  <c r="H171" i="21"/>
  <c r="G172" i="21"/>
  <c r="F143" i="20"/>
  <c r="D210" i="20"/>
  <c r="F211" i="22" s="1"/>
  <c r="E211" i="22" s="1"/>
  <c r="F163" i="21"/>
  <c r="G198" i="22"/>
  <c r="H153" i="21"/>
  <c r="G154" i="21"/>
  <c r="G139" i="21"/>
  <c r="H138" i="21"/>
  <c r="F181" i="20"/>
  <c r="J169" i="5"/>
  <c r="I170" i="5"/>
  <c r="H167" i="20"/>
  <c r="G168" i="20"/>
  <c r="H163" i="5"/>
  <c r="H199" i="20"/>
  <c r="G187" i="20"/>
  <c r="H136" i="21"/>
  <c r="G137" i="21"/>
  <c r="F125" i="20"/>
  <c r="H147" i="20"/>
  <c r="G148" i="20"/>
  <c r="F181" i="21"/>
  <c r="F163" i="20"/>
  <c r="P144" i="5"/>
  <c r="G135" i="22"/>
  <c r="D217" i="21"/>
  <c r="H218" i="22" s="1"/>
  <c r="G218" i="22" s="1"/>
  <c r="G146" i="20"/>
  <c r="H145" i="20"/>
  <c r="H169" i="20"/>
  <c r="G170" i="20"/>
  <c r="H165" i="21"/>
  <c r="G166" i="21"/>
  <c r="D203" i="21"/>
  <c r="H204" i="22" s="1"/>
  <c r="G204" i="22" s="1"/>
  <c r="H195" i="20"/>
  <c r="G183" i="20"/>
  <c r="F151" i="20"/>
  <c r="H196" i="21"/>
  <c r="G184" i="21"/>
  <c r="J173" i="5"/>
  <c r="I174" i="5"/>
  <c r="G131" i="20"/>
  <c r="H130" i="20"/>
  <c r="H159" i="20"/>
  <c r="G160" i="20"/>
  <c r="J165" i="5"/>
  <c r="I166" i="5"/>
  <c r="F207" i="20"/>
  <c r="G137" i="20"/>
  <c r="H136" i="20"/>
  <c r="H128" i="20"/>
  <c r="G129" i="20"/>
  <c r="S218" i="5"/>
  <c r="D218" i="5" s="1"/>
  <c r="D219" i="22" s="1"/>
  <c r="E219" i="22" s="1"/>
  <c r="D220" i="5"/>
  <c r="D221" i="22" s="1"/>
  <c r="E221" i="22" s="1"/>
  <c r="S144" i="5"/>
  <c r="J144" i="5"/>
  <c r="L144" i="5"/>
  <c r="D143" i="5"/>
  <c r="H140" i="5"/>
  <c r="H141" i="5" s="1"/>
  <c r="G143" i="21" l="1"/>
  <c r="I163" i="5"/>
  <c r="G203" i="22"/>
  <c r="G151" i="20"/>
  <c r="G152" i="20" s="1"/>
  <c r="G163" i="21"/>
  <c r="G164" i="21" s="1"/>
  <c r="D144" i="5"/>
  <c r="D145" i="22" s="1"/>
  <c r="D144" i="22"/>
  <c r="H137" i="20"/>
  <c r="I136" i="20"/>
  <c r="H164" i="5"/>
  <c r="I149" i="20"/>
  <c r="H150" i="20"/>
  <c r="I198" i="21"/>
  <c r="H186" i="21"/>
  <c r="I159" i="21"/>
  <c r="H160" i="21"/>
  <c r="I197" i="21"/>
  <c r="H185" i="21"/>
  <c r="I208" i="21"/>
  <c r="H206" i="21"/>
  <c r="I197" i="20"/>
  <c r="H185" i="20"/>
  <c r="I196" i="20"/>
  <c r="H184" i="20"/>
  <c r="E237" i="5"/>
  <c r="E229" i="5" s="1"/>
  <c r="E238" i="5" s="1"/>
  <c r="E239" i="5" s="1"/>
  <c r="F224" i="5"/>
  <c r="F225" i="5"/>
  <c r="F223" i="5"/>
  <c r="I130" i="20"/>
  <c r="H131" i="20"/>
  <c r="I165" i="21"/>
  <c r="H166" i="21"/>
  <c r="I167" i="20"/>
  <c r="H168" i="20"/>
  <c r="G125" i="21"/>
  <c r="I200" i="21"/>
  <c r="H201" i="21"/>
  <c r="I153" i="20"/>
  <c r="H154" i="20"/>
  <c r="K167" i="5"/>
  <c r="J168" i="5"/>
  <c r="I173" i="20"/>
  <c r="H174" i="20"/>
  <c r="I157" i="21"/>
  <c r="H158" i="21"/>
  <c r="I138" i="21"/>
  <c r="H139" i="21"/>
  <c r="I175" i="20"/>
  <c r="H176" i="20"/>
  <c r="H201" i="20"/>
  <c r="I200" i="20"/>
  <c r="G151" i="21"/>
  <c r="G152" i="21" s="1"/>
  <c r="I167" i="21"/>
  <c r="H168" i="21"/>
  <c r="I171" i="20"/>
  <c r="H172" i="20"/>
  <c r="I130" i="21"/>
  <c r="H131" i="21"/>
  <c r="H148" i="21"/>
  <c r="I147" i="21"/>
  <c r="G211" i="22"/>
  <c r="G181" i="21"/>
  <c r="I169" i="21"/>
  <c r="H170" i="21"/>
  <c r="I196" i="21"/>
  <c r="H184" i="21"/>
  <c r="I171" i="21"/>
  <c r="H172" i="21"/>
  <c r="F152" i="20"/>
  <c r="I147" i="20"/>
  <c r="H148" i="20"/>
  <c r="H137" i="21"/>
  <c r="I136" i="21"/>
  <c r="I153" i="21"/>
  <c r="H154" i="21"/>
  <c r="F144" i="20"/>
  <c r="G144" i="21"/>
  <c r="G140" i="21"/>
  <c r="G141" i="21" s="1"/>
  <c r="I132" i="20"/>
  <c r="H133" i="20"/>
  <c r="G224" i="5"/>
  <c r="F237" i="5"/>
  <c r="F229" i="5" s="1"/>
  <c r="G223" i="5"/>
  <c r="G225" i="5"/>
  <c r="G226" i="5" s="1"/>
  <c r="G227" i="5" s="1"/>
  <c r="G228" i="5" s="1"/>
  <c r="I195" i="21"/>
  <c r="H183" i="21"/>
  <c r="I155" i="20"/>
  <c r="H156" i="20"/>
  <c r="G125" i="20"/>
  <c r="K165" i="5"/>
  <c r="J166" i="5"/>
  <c r="K173" i="5"/>
  <c r="J174" i="5"/>
  <c r="I169" i="20"/>
  <c r="H170" i="20"/>
  <c r="G181" i="20"/>
  <c r="K169" i="5"/>
  <c r="J170" i="5"/>
  <c r="I145" i="21"/>
  <c r="H146" i="21"/>
  <c r="F152" i="21"/>
  <c r="H150" i="21"/>
  <c r="I149" i="21"/>
  <c r="G163" i="20"/>
  <c r="G164" i="20" s="1"/>
  <c r="F126" i="21"/>
  <c r="F215" i="21"/>
  <c r="F216" i="21"/>
  <c r="H129" i="21"/>
  <c r="I128" i="21"/>
  <c r="I208" i="20"/>
  <c r="H206" i="20"/>
  <c r="I128" i="20"/>
  <c r="H129" i="20"/>
  <c r="I195" i="20"/>
  <c r="H183" i="20"/>
  <c r="I145" i="20"/>
  <c r="H146" i="20"/>
  <c r="F140" i="20"/>
  <c r="F164" i="20"/>
  <c r="F216" i="20"/>
  <c r="F126" i="20"/>
  <c r="F215" i="20"/>
  <c r="I199" i="20"/>
  <c r="H187" i="20"/>
  <c r="I155" i="21"/>
  <c r="H156" i="21"/>
  <c r="I165" i="20"/>
  <c r="H166" i="20"/>
  <c r="F144" i="21"/>
  <c r="F140" i="21"/>
  <c r="I138" i="20"/>
  <c r="H139" i="20"/>
  <c r="I198" i="20"/>
  <c r="H186" i="20"/>
  <c r="K171" i="5"/>
  <c r="J172" i="5"/>
  <c r="I157" i="20"/>
  <c r="H158" i="20"/>
  <c r="I161" i="20"/>
  <c r="H162" i="20"/>
  <c r="H176" i="21"/>
  <c r="I175" i="21"/>
  <c r="I161" i="21"/>
  <c r="H162" i="21"/>
  <c r="I159" i="20"/>
  <c r="H160" i="20"/>
  <c r="G143" i="20"/>
  <c r="F182" i="21"/>
  <c r="F182" i="20"/>
  <c r="F164" i="21"/>
  <c r="I132" i="21"/>
  <c r="H133" i="21"/>
  <c r="I173" i="21"/>
  <c r="H174" i="21"/>
  <c r="I199" i="21"/>
  <c r="H187" i="21"/>
  <c r="H222" i="5"/>
  <c r="I164" i="5" l="1"/>
  <c r="I140" i="5"/>
  <c r="I139" i="20"/>
  <c r="J138" i="20"/>
  <c r="J155" i="21"/>
  <c r="I156" i="21"/>
  <c r="J195" i="20"/>
  <c r="I183" i="20"/>
  <c r="J147" i="20"/>
  <c r="I148" i="20"/>
  <c r="J130" i="21"/>
  <c r="I131" i="21"/>
  <c r="J138" i="21"/>
  <c r="I139" i="21"/>
  <c r="L167" i="5"/>
  <c r="K168" i="5"/>
  <c r="H207" i="21"/>
  <c r="J159" i="20"/>
  <c r="I160" i="20"/>
  <c r="J161" i="21"/>
  <c r="I162" i="21"/>
  <c r="H151" i="21"/>
  <c r="J169" i="21"/>
  <c r="I170" i="21"/>
  <c r="I201" i="20"/>
  <c r="J200" i="20"/>
  <c r="H151" i="20"/>
  <c r="J167" i="20"/>
  <c r="I168" i="20"/>
  <c r="F226" i="5"/>
  <c r="F227" i="5" s="1"/>
  <c r="F228" i="5" s="1"/>
  <c r="F238" i="5" s="1"/>
  <c r="F239" i="5" s="1"/>
  <c r="J208" i="21"/>
  <c r="I206" i="21"/>
  <c r="I207" i="21" s="1"/>
  <c r="J145" i="21"/>
  <c r="I146" i="21"/>
  <c r="J196" i="21"/>
  <c r="I184" i="21"/>
  <c r="J132" i="21"/>
  <c r="I133" i="21"/>
  <c r="J157" i="20"/>
  <c r="I158" i="20"/>
  <c r="F141" i="21"/>
  <c r="H181" i="20"/>
  <c r="J128" i="21"/>
  <c r="I129" i="21"/>
  <c r="J149" i="21"/>
  <c r="I150" i="21"/>
  <c r="L169" i="5"/>
  <c r="K170" i="5"/>
  <c r="L173" i="5"/>
  <c r="K174" i="5"/>
  <c r="J155" i="20"/>
  <c r="I156" i="20"/>
  <c r="J132" i="20"/>
  <c r="I133" i="20"/>
  <c r="J153" i="21"/>
  <c r="I154" i="21"/>
  <c r="G182" i="21"/>
  <c r="J153" i="20"/>
  <c r="I154" i="20"/>
  <c r="J149" i="20"/>
  <c r="I150" i="20"/>
  <c r="J130" i="20"/>
  <c r="I131" i="20"/>
  <c r="I176" i="21"/>
  <c r="J175" i="21"/>
  <c r="J199" i="20"/>
  <c r="I187" i="20"/>
  <c r="F141" i="20"/>
  <c r="I129" i="20"/>
  <c r="J128" i="20"/>
  <c r="H125" i="21"/>
  <c r="G182" i="20"/>
  <c r="J171" i="20"/>
  <c r="I172" i="20"/>
  <c r="J157" i="21"/>
  <c r="I158" i="21"/>
  <c r="H163" i="21"/>
  <c r="J197" i="21"/>
  <c r="I185" i="21"/>
  <c r="I162" i="20"/>
  <c r="J161" i="20"/>
  <c r="J208" i="20"/>
  <c r="I206" i="20"/>
  <c r="I207" i="20" s="1"/>
  <c r="J198" i="21"/>
  <c r="I186" i="21"/>
  <c r="H181" i="21"/>
  <c r="G144" i="20"/>
  <c r="G140" i="20"/>
  <c r="G141" i="20" s="1"/>
  <c r="L171" i="5"/>
  <c r="K172" i="5"/>
  <c r="H163" i="20"/>
  <c r="F211" i="20"/>
  <c r="J163" i="5"/>
  <c r="J195" i="21"/>
  <c r="I183" i="21"/>
  <c r="I137" i="21"/>
  <c r="J136" i="21"/>
  <c r="J165" i="21"/>
  <c r="I166" i="21"/>
  <c r="J173" i="21"/>
  <c r="I174" i="21"/>
  <c r="H125" i="20"/>
  <c r="J165" i="20"/>
  <c r="I166" i="20"/>
  <c r="H143" i="20"/>
  <c r="F211" i="21"/>
  <c r="L165" i="5"/>
  <c r="K166" i="5"/>
  <c r="J171" i="21"/>
  <c r="I172" i="21"/>
  <c r="I148" i="21"/>
  <c r="J147" i="21"/>
  <c r="J167" i="21"/>
  <c r="I168" i="21"/>
  <c r="I176" i="20"/>
  <c r="J175" i="20"/>
  <c r="J173" i="20"/>
  <c r="I174" i="20"/>
  <c r="I201" i="21"/>
  <c r="J200" i="21"/>
  <c r="J196" i="20"/>
  <c r="I184" i="20"/>
  <c r="J159" i="21"/>
  <c r="I160" i="21"/>
  <c r="J169" i="20"/>
  <c r="I170" i="20"/>
  <c r="J197" i="20"/>
  <c r="I185" i="20"/>
  <c r="J199" i="21"/>
  <c r="I187" i="21"/>
  <c r="J198" i="20"/>
  <c r="I186" i="20"/>
  <c r="J145" i="20"/>
  <c r="I146" i="20"/>
  <c r="I143" i="20" s="1"/>
  <c r="H207" i="20"/>
  <c r="H143" i="21"/>
  <c r="G126" i="20"/>
  <c r="G216" i="20"/>
  <c r="G215" i="20"/>
  <c r="G126" i="21"/>
  <c r="G216" i="21"/>
  <c r="G215" i="21"/>
  <c r="I137" i="20"/>
  <c r="J136" i="20"/>
  <c r="G237" i="5"/>
  <c r="G229" i="5" s="1"/>
  <c r="G238" i="5" s="1"/>
  <c r="H223" i="5"/>
  <c r="H224" i="5"/>
  <c r="H225" i="5"/>
  <c r="H226" i="5" s="1"/>
  <c r="G211" i="20" l="1"/>
  <c r="G212" i="20" s="1"/>
  <c r="I141" i="5"/>
  <c r="I222" i="5"/>
  <c r="J137" i="20"/>
  <c r="K136" i="20"/>
  <c r="H144" i="21"/>
  <c r="H140" i="21"/>
  <c r="K198" i="20"/>
  <c r="J186" i="20"/>
  <c r="K147" i="21"/>
  <c r="J148" i="21"/>
  <c r="H144" i="20"/>
  <c r="H140" i="20"/>
  <c r="H141" i="20" s="1"/>
  <c r="I181" i="21"/>
  <c r="K198" i="21"/>
  <c r="J186" i="21"/>
  <c r="K197" i="21"/>
  <c r="J185" i="21"/>
  <c r="G178" i="20"/>
  <c r="I181" i="20"/>
  <c r="K149" i="20"/>
  <c r="J150" i="20"/>
  <c r="M169" i="5"/>
  <c r="L170" i="5"/>
  <c r="K196" i="21"/>
  <c r="J184" i="21"/>
  <c r="H152" i="21"/>
  <c r="K138" i="20"/>
  <c r="J139" i="20"/>
  <c r="I163" i="20"/>
  <c r="I164" i="20" s="1"/>
  <c r="K173" i="21"/>
  <c r="J174" i="21"/>
  <c r="J164" i="5"/>
  <c r="J140" i="5"/>
  <c r="M171" i="5"/>
  <c r="L172" i="5"/>
  <c r="I151" i="20"/>
  <c r="I152" i="20" s="1"/>
  <c r="K149" i="21"/>
  <c r="J150" i="21"/>
  <c r="J146" i="21"/>
  <c r="K145" i="21"/>
  <c r="H152" i="20"/>
  <c r="M167" i="5"/>
  <c r="L168" i="5"/>
  <c r="K195" i="21"/>
  <c r="J183" i="21"/>
  <c r="K199" i="20"/>
  <c r="J187" i="20"/>
  <c r="I143" i="21"/>
  <c r="K159" i="21"/>
  <c r="J160" i="21"/>
  <c r="K173" i="20"/>
  <c r="J174" i="20"/>
  <c r="J172" i="21"/>
  <c r="K171" i="21"/>
  <c r="K165" i="20"/>
  <c r="J166" i="20"/>
  <c r="K208" i="20"/>
  <c r="J206" i="20"/>
  <c r="H126" i="21"/>
  <c r="H215" i="21"/>
  <c r="H216" i="21"/>
  <c r="H211" i="21" s="1"/>
  <c r="H212" i="21" s="1"/>
  <c r="J176" i="21"/>
  <c r="K175" i="21"/>
  <c r="K153" i="20"/>
  <c r="J154" i="20"/>
  <c r="I125" i="21"/>
  <c r="K157" i="20"/>
  <c r="J158" i="20"/>
  <c r="K200" i="20"/>
  <c r="J201" i="20"/>
  <c r="K195" i="20"/>
  <c r="J183" i="20"/>
  <c r="K169" i="20"/>
  <c r="J170" i="20"/>
  <c r="K147" i="20"/>
  <c r="J148" i="20"/>
  <c r="I144" i="20"/>
  <c r="I140" i="20"/>
  <c r="I141" i="20" s="1"/>
  <c r="K199" i="21"/>
  <c r="J187" i="21"/>
  <c r="K175" i="20"/>
  <c r="J176" i="20"/>
  <c r="K163" i="5"/>
  <c r="I163" i="21"/>
  <c r="I164" i="21" s="1"/>
  <c r="F212" i="20"/>
  <c r="F178" i="20"/>
  <c r="J162" i="20"/>
  <c r="K161" i="20"/>
  <c r="J158" i="21"/>
  <c r="K157" i="21"/>
  <c r="J129" i="20"/>
  <c r="K128" i="20"/>
  <c r="J156" i="20"/>
  <c r="K155" i="20"/>
  <c r="K128" i="21"/>
  <c r="J129" i="21"/>
  <c r="K161" i="21"/>
  <c r="J162" i="21"/>
  <c r="K138" i="21"/>
  <c r="J139" i="21"/>
  <c r="K132" i="20"/>
  <c r="J133" i="20"/>
  <c r="G211" i="21"/>
  <c r="J146" i="20"/>
  <c r="K145" i="20"/>
  <c r="K196" i="20"/>
  <c r="J184" i="20"/>
  <c r="M165" i="5"/>
  <c r="L166" i="5"/>
  <c r="J166" i="21"/>
  <c r="K165" i="21"/>
  <c r="I125" i="20"/>
  <c r="J133" i="21"/>
  <c r="K132" i="21"/>
  <c r="K208" i="21"/>
  <c r="J206" i="21"/>
  <c r="J207" i="21" s="1"/>
  <c r="K167" i="20"/>
  <c r="J168" i="20"/>
  <c r="K197" i="20"/>
  <c r="J185" i="20"/>
  <c r="F212" i="21"/>
  <c r="F178" i="21"/>
  <c r="J137" i="21"/>
  <c r="K136" i="21"/>
  <c r="H182" i="21"/>
  <c r="H178" i="21"/>
  <c r="H179" i="21" s="1"/>
  <c r="J172" i="20"/>
  <c r="K171" i="20"/>
  <c r="K130" i="20"/>
  <c r="J131" i="20"/>
  <c r="I151" i="21"/>
  <c r="I152" i="21" s="1"/>
  <c r="M173" i="5"/>
  <c r="L174" i="5"/>
  <c r="H182" i="20"/>
  <c r="J160" i="20"/>
  <c r="K159" i="20"/>
  <c r="K130" i="21"/>
  <c r="J131" i="21"/>
  <c r="K155" i="21"/>
  <c r="J156" i="21"/>
  <c r="H164" i="21"/>
  <c r="G239" i="5"/>
  <c r="J201" i="21"/>
  <c r="K200" i="21"/>
  <c r="J168" i="21"/>
  <c r="K167" i="21"/>
  <c r="H126" i="20"/>
  <c r="H216" i="20"/>
  <c r="H215" i="20"/>
  <c r="H164" i="20"/>
  <c r="J154" i="21"/>
  <c r="K153" i="21"/>
  <c r="J170" i="21"/>
  <c r="K169" i="21"/>
  <c r="H227" i="5"/>
  <c r="H228" i="5" s="1"/>
  <c r="L163" i="5" l="1"/>
  <c r="I223" i="5"/>
  <c r="I224" i="5"/>
  <c r="H237" i="5"/>
  <c r="H229" i="5" s="1"/>
  <c r="I225" i="5"/>
  <c r="I226" i="5" s="1"/>
  <c r="H238" i="5"/>
  <c r="K154" i="21"/>
  <c r="L153" i="21"/>
  <c r="K139" i="21"/>
  <c r="L138" i="21"/>
  <c r="K129" i="20"/>
  <c r="L128" i="20"/>
  <c r="L199" i="21"/>
  <c r="K187" i="21"/>
  <c r="L195" i="20"/>
  <c r="K183" i="20"/>
  <c r="K154" i="20"/>
  <c r="L153" i="20"/>
  <c r="J207" i="20"/>
  <c r="K174" i="20"/>
  <c r="L173" i="20"/>
  <c r="L199" i="20"/>
  <c r="K187" i="20"/>
  <c r="J222" i="5"/>
  <c r="J141" i="5"/>
  <c r="I182" i="21"/>
  <c r="L198" i="20"/>
  <c r="K186" i="20"/>
  <c r="L208" i="21"/>
  <c r="K206" i="21"/>
  <c r="K166" i="21"/>
  <c r="L165" i="21"/>
  <c r="K146" i="20"/>
  <c r="L145" i="20"/>
  <c r="J125" i="20"/>
  <c r="L175" i="21"/>
  <c r="K176" i="21"/>
  <c r="L208" i="20"/>
  <c r="K206" i="20"/>
  <c r="K207" i="20" s="1"/>
  <c r="L149" i="20"/>
  <c r="K150" i="20"/>
  <c r="L145" i="21"/>
  <c r="K146" i="21"/>
  <c r="L198" i="21"/>
  <c r="K186" i="21"/>
  <c r="K131" i="20"/>
  <c r="L130" i="20"/>
  <c r="L197" i="20"/>
  <c r="K185" i="20"/>
  <c r="J163" i="21"/>
  <c r="J143" i="20"/>
  <c r="K162" i="21"/>
  <c r="L161" i="21"/>
  <c r="K158" i="21"/>
  <c r="L157" i="21"/>
  <c r="J163" i="20"/>
  <c r="J151" i="21"/>
  <c r="J152" i="21" s="1"/>
  <c r="L195" i="21"/>
  <c r="K183" i="21"/>
  <c r="K150" i="21"/>
  <c r="L149" i="21"/>
  <c r="I182" i="20"/>
  <c r="H141" i="21"/>
  <c r="L167" i="21"/>
  <c r="K168" i="21"/>
  <c r="L155" i="21"/>
  <c r="K156" i="21"/>
  <c r="L132" i="21"/>
  <c r="K133" i="21"/>
  <c r="G212" i="21"/>
  <c r="G178" i="21"/>
  <c r="K164" i="5"/>
  <c r="K140" i="5"/>
  <c r="L200" i="20"/>
  <c r="K201" i="20"/>
  <c r="K166" i="20"/>
  <c r="L165" i="20"/>
  <c r="K160" i="21"/>
  <c r="L159" i="21"/>
  <c r="L173" i="21"/>
  <c r="K174" i="21"/>
  <c r="L196" i="21"/>
  <c r="K184" i="21"/>
  <c r="G179" i="20"/>
  <c r="G222" i="20"/>
  <c r="L159" i="20"/>
  <c r="K160" i="20"/>
  <c r="J181" i="20"/>
  <c r="K137" i="21"/>
  <c r="L136" i="21"/>
  <c r="L164" i="5"/>
  <c r="L140" i="5"/>
  <c r="J125" i="21"/>
  <c r="L161" i="20"/>
  <c r="K162" i="20"/>
  <c r="K148" i="20"/>
  <c r="L147" i="20"/>
  <c r="N167" i="5"/>
  <c r="M168" i="5"/>
  <c r="J181" i="21"/>
  <c r="J143" i="21"/>
  <c r="L196" i="20"/>
  <c r="K184" i="20"/>
  <c r="J151" i="20"/>
  <c r="K170" i="21"/>
  <c r="L169" i="21"/>
  <c r="K201" i="21"/>
  <c r="L200" i="21"/>
  <c r="L171" i="20"/>
  <c r="K172" i="20"/>
  <c r="L167" i="20"/>
  <c r="K168" i="20"/>
  <c r="N165" i="5"/>
  <c r="M166" i="5"/>
  <c r="L128" i="21"/>
  <c r="K129" i="21"/>
  <c r="K158" i="20"/>
  <c r="L157" i="20"/>
  <c r="K172" i="21"/>
  <c r="L171" i="21"/>
  <c r="L197" i="21"/>
  <c r="K185" i="21"/>
  <c r="K148" i="21"/>
  <c r="K143" i="21" s="1"/>
  <c r="L147" i="21"/>
  <c r="K137" i="20"/>
  <c r="L136" i="20"/>
  <c r="H211" i="20"/>
  <c r="L130" i="21"/>
  <c r="K131" i="21"/>
  <c r="N173" i="5"/>
  <c r="M174" i="5"/>
  <c r="F179" i="21"/>
  <c r="F222" i="21"/>
  <c r="I126" i="20"/>
  <c r="I215" i="20"/>
  <c r="I216" i="20"/>
  <c r="K133" i="20"/>
  <c r="L132" i="20"/>
  <c r="K156" i="20"/>
  <c r="L155" i="20"/>
  <c r="F179" i="20"/>
  <c r="F222" i="20"/>
  <c r="L175" i="20"/>
  <c r="K176" i="20"/>
  <c r="L169" i="20"/>
  <c r="K170" i="20"/>
  <c r="I126" i="21"/>
  <c r="I216" i="21"/>
  <c r="I215" i="21"/>
  <c r="I211" i="21" s="1"/>
  <c r="I178" i="21" s="1"/>
  <c r="H222" i="21"/>
  <c r="I144" i="21"/>
  <c r="I140" i="21"/>
  <c r="I141" i="21" s="1"/>
  <c r="N171" i="5"/>
  <c r="M172" i="5"/>
  <c r="K139" i="20"/>
  <c r="L138" i="20"/>
  <c r="N169" i="5"/>
  <c r="M170" i="5"/>
  <c r="H239" i="5"/>
  <c r="I227" i="5"/>
  <c r="I228" i="5" s="1"/>
  <c r="K125" i="20" l="1"/>
  <c r="I179" i="21"/>
  <c r="I222" i="21"/>
  <c r="O169" i="5"/>
  <c r="N170" i="5"/>
  <c r="J140" i="20"/>
  <c r="J152" i="20"/>
  <c r="M138" i="20"/>
  <c r="L139" i="20"/>
  <c r="I211" i="20"/>
  <c r="M197" i="21"/>
  <c r="L185" i="21"/>
  <c r="K125" i="21"/>
  <c r="M196" i="21"/>
  <c r="L184" i="21"/>
  <c r="M200" i="20"/>
  <c r="L201" i="20"/>
  <c r="D201" i="20" s="1"/>
  <c r="F202" i="22" s="1"/>
  <c r="E202" i="22" s="1"/>
  <c r="L158" i="21"/>
  <c r="M157" i="21"/>
  <c r="M197" i="20"/>
  <c r="L185" i="20"/>
  <c r="M153" i="20"/>
  <c r="L154" i="20"/>
  <c r="L148" i="20"/>
  <c r="M147" i="20"/>
  <c r="J126" i="20"/>
  <c r="J216" i="20"/>
  <c r="J215" i="20"/>
  <c r="J211" i="20" s="1"/>
  <c r="J212" i="20" s="1"/>
  <c r="M171" i="20"/>
  <c r="L172" i="20"/>
  <c r="M196" i="20"/>
  <c r="L184" i="20"/>
  <c r="J182" i="20"/>
  <c r="K141" i="5"/>
  <c r="K222" i="5"/>
  <c r="L150" i="21"/>
  <c r="M149" i="21"/>
  <c r="M149" i="20"/>
  <c r="L150" i="20"/>
  <c r="M145" i="20"/>
  <c r="L146" i="20"/>
  <c r="M198" i="20"/>
  <c r="L186" i="20"/>
  <c r="M199" i="20"/>
  <c r="L187" i="20"/>
  <c r="K151" i="20"/>
  <c r="K152" i="20" s="1"/>
  <c r="L139" i="21"/>
  <c r="M138" i="21"/>
  <c r="M136" i="21"/>
  <c r="L137" i="21"/>
  <c r="H212" i="20"/>
  <c r="H178" i="20"/>
  <c r="L172" i="21"/>
  <c r="M171" i="21"/>
  <c r="M200" i="21"/>
  <c r="L201" i="21"/>
  <c r="D201" i="21" s="1"/>
  <c r="H202" i="22" s="1"/>
  <c r="G202" i="22" s="1"/>
  <c r="J140" i="21"/>
  <c r="J141" i="21" s="1"/>
  <c r="J144" i="21"/>
  <c r="L174" i="21"/>
  <c r="M173" i="21"/>
  <c r="M155" i="21"/>
  <c r="L156" i="21"/>
  <c r="L162" i="21"/>
  <c r="M161" i="21"/>
  <c r="L131" i="20"/>
  <c r="M130" i="20"/>
  <c r="K143" i="20"/>
  <c r="K181" i="20"/>
  <c r="I212" i="21"/>
  <c r="L129" i="21"/>
  <c r="L125" i="21" s="1"/>
  <c r="M128" i="21"/>
  <c r="M155" i="20"/>
  <c r="L156" i="20"/>
  <c r="E237" i="21"/>
  <c r="F223" i="21"/>
  <c r="F225" i="21"/>
  <c r="F224" i="21"/>
  <c r="M136" i="20"/>
  <c r="L137" i="20"/>
  <c r="M163" i="5"/>
  <c r="J182" i="21"/>
  <c r="L162" i="20"/>
  <c r="M161" i="20"/>
  <c r="M159" i="21"/>
  <c r="L160" i="21"/>
  <c r="G179" i="21"/>
  <c r="G222" i="21"/>
  <c r="G237" i="21" s="1"/>
  <c r="G229" i="21" s="1"/>
  <c r="K181" i="21"/>
  <c r="L166" i="21"/>
  <c r="M165" i="21"/>
  <c r="L174" i="20"/>
  <c r="M173" i="20"/>
  <c r="M195" i="20"/>
  <c r="L183" i="20"/>
  <c r="M153" i="21"/>
  <c r="L154" i="21"/>
  <c r="K126" i="20"/>
  <c r="K215" i="20"/>
  <c r="K216" i="20"/>
  <c r="M130" i="21"/>
  <c r="L131" i="21"/>
  <c r="M169" i="20"/>
  <c r="L170" i="20"/>
  <c r="O165" i="5"/>
  <c r="N166" i="5"/>
  <c r="J126" i="21"/>
  <c r="J215" i="21"/>
  <c r="J216" i="21"/>
  <c r="L160" i="20"/>
  <c r="M159" i="20"/>
  <c r="L168" i="21"/>
  <c r="M167" i="21"/>
  <c r="M195" i="21"/>
  <c r="L183" i="21"/>
  <c r="L206" i="20"/>
  <c r="L207" i="20" s="1"/>
  <c r="M208" i="20"/>
  <c r="K163" i="21"/>
  <c r="K164" i="21" s="1"/>
  <c r="K151" i="21"/>
  <c r="K152" i="21" s="1"/>
  <c r="F237" i="20"/>
  <c r="F229" i="20" s="1"/>
  <c r="F223" i="20"/>
  <c r="F224" i="20"/>
  <c r="E237" i="20"/>
  <c r="F225" i="20"/>
  <c r="L168" i="20"/>
  <c r="M167" i="20"/>
  <c r="J225" i="5"/>
  <c r="J223" i="5"/>
  <c r="J224" i="5"/>
  <c r="I237" i="5"/>
  <c r="L133" i="20"/>
  <c r="M132" i="20"/>
  <c r="M147" i="21"/>
  <c r="L148" i="21"/>
  <c r="L158" i="20"/>
  <c r="M157" i="20"/>
  <c r="L170" i="21"/>
  <c r="M169" i="21"/>
  <c r="L222" i="5"/>
  <c r="L141" i="5"/>
  <c r="G224" i="20"/>
  <c r="G225" i="20"/>
  <c r="G226" i="20" s="1"/>
  <c r="G227" i="20" s="1"/>
  <c r="G228" i="20" s="1"/>
  <c r="G223" i="20"/>
  <c r="M165" i="20"/>
  <c r="L166" i="20"/>
  <c r="J144" i="20"/>
  <c r="M198" i="21"/>
  <c r="L186" i="21"/>
  <c r="K207" i="21"/>
  <c r="M199" i="21"/>
  <c r="L187" i="21"/>
  <c r="O173" i="5"/>
  <c r="N174" i="5"/>
  <c r="M145" i="21"/>
  <c r="L146" i="21"/>
  <c r="O171" i="5"/>
  <c r="N172" i="5"/>
  <c r="H223" i="21"/>
  <c r="H224" i="21"/>
  <c r="H225" i="21"/>
  <c r="H226" i="21" s="1"/>
  <c r="H227" i="21" s="1"/>
  <c r="H228" i="21" s="1"/>
  <c r="L176" i="20"/>
  <c r="M175" i="20"/>
  <c r="K144" i="21"/>
  <c r="O167" i="5"/>
  <c r="N168" i="5"/>
  <c r="K163" i="20"/>
  <c r="K164" i="20" s="1"/>
  <c r="M132" i="21"/>
  <c r="L133" i="21"/>
  <c r="J164" i="20"/>
  <c r="J164" i="21"/>
  <c r="M175" i="21"/>
  <c r="L176" i="21"/>
  <c r="L206" i="21"/>
  <c r="L207" i="21" s="1"/>
  <c r="M208" i="21"/>
  <c r="L129" i="20"/>
  <c r="L125" i="20" s="1"/>
  <c r="M128" i="20"/>
  <c r="K140" i="21" l="1"/>
  <c r="K141" i="21" s="1"/>
  <c r="J211" i="21"/>
  <c r="J212" i="21" s="1"/>
  <c r="L143" i="21"/>
  <c r="K211" i="20"/>
  <c r="K212" i="20" s="1"/>
  <c r="J178" i="20"/>
  <c r="J179" i="20" s="1"/>
  <c r="L163" i="20"/>
  <c r="L164" i="20" s="1"/>
  <c r="L151" i="21"/>
  <c r="L152" i="21" s="1"/>
  <c r="K144" i="20"/>
  <c r="K140" i="20"/>
  <c r="J141" i="20"/>
  <c r="M129" i="20"/>
  <c r="N128" i="20"/>
  <c r="E229" i="20"/>
  <c r="E238" i="20" s="1"/>
  <c r="N159" i="20"/>
  <c r="M160" i="20"/>
  <c r="N163" i="5"/>
  <c r="N159" i="21"/>
  <c r="M160" i="21"/>
  <c r="M156" i="20"/>
  <c r="N155" i="20"/>
  <c r="M131" i="20"/>
  <c r="N130" i="20"/>
  <c r="L181" i="20"/>
  <c r="M150" i="20"/>
  <c r="N149" i="20"/>
  <c r="N197" i="21"/>
  <c r="M185" i="21"/>
  <c r="M174" i="20"/>
  <c r="N173" i="20"/>
  <c r="L126" i="20"/>
  <c r="L215" i="20"/>
  <c r="L216" i="20"/>
  <c r="P167" i="5"/>
  <c r="O168" i="5"/>
  <c r="P165" i="5"/>
  <c r="O166" i="5"/>
  <c r="N165" i="21"/>
  <c r="M166" i="21"/>
  <c r="M162" i="20"/>
  <c r="N161" i="20"/>
  <c r="M137" i="20"/>
  <c r="N136" i="20"/>
  <c r="N199" i="20"/>
  <c r="M187" i="20"/>
  <c r="N149" i="21"/>
  <c r="M150" i="21"/>
  <c r="N196" i="20"/>
  <c r="M184" i="20"/>
  <c r="N147" i="20"/>
  <c r="M148" i="20"/>
  <c r="N145" i="21"/>
  <c r="M146" i="21"/>
  <c r="H179" i="20"/>
  <c r="H222" i="20"/>
  <c r="N157" i="21"/>
  <c r="M158" i="21"/>
  <c r="P173" i="5"/>
  <c r="O174" i="5"/>
  <c r="N198" i="21"/>
  <c r="M186" i="21"/>
  <c r="J226" i="5"/>
  <c r="M206" i="20"/>
  <c r="M207" i="20" s="1"/>
  <c r="N208" i="20"/>
  <c r="L163" i="21"/>
  <c r="M129" i="21"/>
  <c r="N128" i="21"/>
  <c r="M162" i="21"/>
  <c r="N161" i="21"/>
  <c r="I212" i="20"/>
  <c r="I178" i="20"/>
  <c r="P169" i="5"/>
  <c r="O170" i="5"/>
  <c r="N198" i="20"/>
  <c r="M186" i="20"/>
  <c r="K223" i="5"/>
  <c r="K225" i="5"/>
  <c r="K226" i="5" s="1"/>
  <c r="K227" i="5" s="1"/>
  <c r="K228" i="5" s="1"/>
  <c r="K224" i="5"/>
  <c r="J237" i="5"/>
  <c r="J229" i="5" s="1"/>
  <c r="N171" i="20"/>
  <c r="M172" i="20"/>
  <c r="L151" i="20"/>
  <c r="L152" i="20" s="1"/>
  <c r="M201" i="20"/>
  <c r="N200" i="20"/>
  <c r="I223" i="21"/>
  <c r="H237" i="21"/>
  <c r="H229" i="21" s="1"/>
  <c r="H238" i="21" s="1"/>
  <c r="I225" i="21"/>
  <c r="I226" i="21" s="1"/>
  <c r="I227" i="21" s="1"/>
  <c r="I228" i="21" s="1"/>
  <c r="I224" i="21"/>
  <c r="N165" i="20"/>
  <c r="M166" i="20"/>
  <c r="F226" i="20"/>
  <c r="M148" i="21"/>
  <c r="N147" i="21"/>
  <c r="F226" i="21"/>
  <c r="L225" i="5"/>
  <c r="L226" i="5" s="1"/>
  <c r="L227" i="5" s="1"/>
  <c r="L228" i="5" s="1"/>
  <c r="L223" i="5"/>
  <c r="L224" i="5"/>
  <c r="K237" i="5"/>
  <c r="K229" i="5" s="1"/>
  <c r="M168" i="20"/>
  <c r="N167" i="20"/>
  <c r="L181" i="21"/>
  <c r="N153" i="21"/>
  <c r="M154" i="21"/>
  <c r="K182" i="21"/>
  <c r="J178" i="21"/>
  <c r="J222" i="21" s="1"/>
  <c r="M201" i="21"/>
  <c r="N200" i="21"/>
  <c r="N136" i="21"/>
  <c r="M137" i="21"/>
  <c r="L143" i="20"/>
  <c r="N153" i="20"/>
  <c r="M154" i="20"/>
  <c r="P171" i="5"/>
  <c r="O172" i="5"/>
  <c r="N199" i="21"/>
  <c r="M187" i="21"/>
  <c r="M133" i="20"/>
  <c r="N132" i="20"/>
  <c r="M133" i="21"/>
  <c r="N132" i="21"/>
  <c r="N175" i="20"/>
  <c r="M176" i="20"/>
  <c r="M170" i="21"/>
  <c r="N169" i="21"/>
  <c r="N195" i="21"/>
  <c r="M183" i="21"/>
  <c r="N130" i="21"/>
  <c r="M131" i="21"/>
  <c r="G223" i="21"/>
  <c r="F237" i="21"/>
  <c r="F229" i="21" s="1"/>
  <c r="G224" i="21"/>
  <c r="G225" i="21"/>
  <c r="N155" i="21"/>
  <c r="M156" i="21"/>
  <c r="M172" i="21"/>
  <c r="N171" i="21"/>
  <c r="N138" i="21"/>
  <c r="M139" i="21"/>
  <c r="M146" i="20"/>
  <c r="M143" i="20" s="1"/>
  <c r="N145" i="20"/>
  <c r="N196" i="21"/>
  <c r="M184" i="21"/>
  <c r="N138" i="20"/>
  <c r="M139" i="20"/>
  <c r="N157" i="20"/>
  <c r="M158" i="20"/>
  <c r="N208" i="21"/>
  <c r="M206" i="21"/>
  <c r="N169" i="20"/>
  <c r="M170" i="20"/>
  <c r="L126" i="21"/>
  <c r="L216" i="21"/>
  <c r="L215" i="21"/>
  <c r="M176" i="21"/>
  <c r="N175" i="21"/>
  <c r="L140" i="21"/>
  <c r="L141" i="21" s="1"/>
  <c r="L144" i="21"/>
  <c r="I229" i="5"/>
  <c r="M168" i="21"/>
  <c r="N167" i="21"/>
  <c r="N195" i="20"/>
  <c r="M183" i="20"/>
  <c r="M164" i="5"/>
  <c r="M140" i="5"/>
  <c r="E229" i="21"/>
  <c r="K182" i="20"/>
  <c r="K178" i="20"/>
  <c r="K179" i="20" s="1"/>
  <c r="M174" i="21"/>
  <c r="N173" i="21"/>
  <c r="N197" i="20"/>
  <c r="M185" i="20"/>
  <c r="K126" i="21"/>
  <c r="K216" i="21"/>
  <c r="K215" i="21"/>
  <c r="M181" i="20" l="1"/>
  <c r="M125" i="20"/>
  <c r="L211" i="20"/>
  <c r="L212" i="20" s="1"/>
  <c r="M143" i="21"/>
  <c r="M181" i="21"/>
  <c r="J222" i="20"/>
  <c r="M182" i="20"/>
  <c r="O195" i="20"/>
  <c r="N183" i="20"/>
  <c r="O208" i="21"/>
  <c r="N206" i="21"/>
  <c r="N207" i="21" s="1"/>
  <c r="N146" i="20"/>
  <c r="O145" i="20"/>
  <c r="N156" i="21"/>
  <c r="O155" i="21"/>
  <c r="M182" i="21"/>
  <c r="O175" i="20"/>
  <c r="N176" i="20"/>
  <c r="Q171" i="5"/>
  <c r="P172" i="5"/>
  <c r="O136" i="21"/>
  <c r="N137" i="21"/>
  <c r="N154" i="21"/>
  <c r="O153" i="21"/>
  <c r="M163" i="20"/>
  <c r="O198" i="20"/>
  <c r="N186" i="20"/>
  <c r="N129" i="21"/>
  <c r="O128" i="21"/>
  <c r="O130" i="20"/>
  <c r="N131" i="20"/>
  <c r="N176" i="21"/>
  <c r="O175" i="21"/>
  <c r="I237" i="21"/>
  <c r="I229" i="21" s="1"/>
  <c r="J223" i="21"/>
  <c r="J224" i="21"/>
  <c r="J225" i="21"/>
  <c r="J226" i="21" s="1"/>
  <c r="J227" i="21" s="1"/>
  <c r="J228" i="21" s="1"/>
  <c r="M151" i="21"/>
  <c r="O157" i="21"/>
  <c r="N158" i="21"/>
  <c r="O147" i="20"/>
  <c r="N148" i="20"/>
  <c r="O128" i="20"/>
  <c r="N129" i="20"/>
  <c r="N168" i="21"/>
  <c r="O167" i="21"/>
  <c r="M144" i="20"/>
  <c r="G226" i="21"/>
  <c r="G227" i="21" s="1"/>
  <c r="G228" i="21" s="1"/>
  <c r="G238" i="21" s="1"/>
  <c r="O195" i="21"/>
  <c r="N183" i="21"/>
  <c r="N133" i="21"/>
  <c r="O132" i="21"/>
  <c r="O200" i="21"/>
  <c r="N201" i="21"/>
  <c r="L182" i="21"/>
  <c r="N166" i="20"/>
  <c r="O165" i="20"/>
  <c r="M125" i="21"/>
  <c r="O198" i="21"/>
  <c r="N186" i="21"/>
  <c r="G237" i="20"/>
  <c r="H225" i="20"/>
  <c r="H223" i="20"/>
  <c r="H224" i="20"/>
  <c r="O196" i="20"/>
  <c r="N184" i="20"/>
  <c r="O161" i="20"/>
  <c r="N162" i="20"/>
  <c r="Q167" i="5"/>
  <c r="P168" i="5"/>
  <c r="M151" i="20"/>
  <c r="M152" i="20" s="1"/>
  <c r="M126" i="20"/>
  <c r="M216" i="20"/>
  <c r="M215" i="20"/>
  <c r="N174" i="20"/>
  <c r="O173" i="20"/>
  <c r="N164" i="5"/>
  <c r="N140" i="5"/>
  <c r="K141" i="20"/>
  <c r="K222" i="20"/>
  <c r="K211" i="21"/>
  <c r="L211" i="21"/>
  <c r="L212" i="21" s="1"/>
  <c r="N168" i="20"/>
  <c r="O167" i="20"/>
  <c r="F227" i="21"/>
  <c r="O171" i="20"/>
  <c r="N172" i="20"/>
  <c r="Q169" i="5"/>
  <c r="P170" i="5"/>
  <c r="L164" i="21"/>
  <c r="O197" i="21"/>
  <c r="N185" i="21"/>
  <c r="O159" i="20"/>
  <c r="N160" i="20"/>
  <c r="O196" i="21"/>
  <c r="N184" i="21"/>
  <c r="E238" i="21"/>
  <c r="O157" i="20"/>
  <c r="N158" i="20"/>
  <c r="N139" i="21"/>
  <c r="O138" i="21"/>
  <c r="O132" i="20"/>
  <c r="N133" i="20"/>
  <c r="N148" i="21"/>
  <c r="O147" i="21"/>
  <c r="I238" i="21"/>
  <c r="I179" i="20"/>
  <c r="I222" i="20"/>
  <c r="Q173" i="5"/>
  <c r="P174" i="5"/>
  <c r="N150" i="21"/>
  <c r="O149" i="21"/>
  <c r="M163" i="21"/>
  <c r="M164" i="21" s="1"/>
  <c r="N150" i="20"/>
  <c r="O149" i="20"/>
  <c r="N156" i="20"/>
  <c r="O155" i="20"/>
  <c r="M207" i="21"/>
  <c r="F227" i="20"/>
  <c r="J227" i="5"/>
  <c r="N170" i="21"/>
  <c r="O169" i="21"/>
  <c r="O197" i="20"/>
  <c r="N185" i="20"/>
  <c r="I238" i="5"/>
  <c r="N172" i="21"/>
  <c r="O171" i="21"/>
  <c r="N154" i="20"/>
  <c r="O153" i="20"/>
  <c r="J179" i="21"/>
  <c r="M140" i="21"/>
  <c r="M141" i="21" s="1"/>
  <c r="M144" i="21"/>
  <c r="O208" i="20"/>
  <c r="N206" i="20"/>
  <c r="N207" i="20" s="1"/>
  <c r="O145" i="21"/>
  <c r="N146" i="21"/>
  <c r="O165" i="21"/>
  <c r="N166" i="21"/>
  <c r="E239" i="20"/>
  <c r="M222" i="5"/>
  <c r="M141" i="5"/>
  <c r="O138" i="20"/>
  <c r="N139" i="20"/>
  <c r="K238" i="5"/>
  <c r="O199" i="20"/>
  <c r="N187" i="20"/>
  <c r="O163" i="5"/>
  <c r="L182" i="20"/>
  <c r="L178" i="20"/>
  <c r="L179" i="20" s="1"/>
  <c r="O173" i="21"/>
  <c r="N174" i="21"/>
  <c r="O169" i="20"/>
  <c r="N170" i="20"/>
  <c r="O130" i="21"/>
  <c r="N131" i="21"/>
  <c r="O199" i="21"/>
  <c r="N187" i="21"/>
  <c r="L140" i="20"/>
  <c r="L144" i="20"/>
  <c r="O200" i="20"/>
  <c r="N201" i="20"/>
  <c r="O161" i="21"/>
  <c r="N162" i="21"/>
  <c r="N137" i="20"/>
  <c r="O136" i="20"/>
  <c r="Q165" i="5"/>
  <c r="P166" i="5"/>
  <c r="O159" i="21"/>
  <c r="N160" i="21"/>
  <c r="J225" i="20" l="1"/>
  <c r="J226" i="20" s="1"/>
  <c r="J227" i="20" s="1"/>
  <c r="J228" i="20" s="1"/>
  <c r="J224" i="20"/>
  <c r="J223" i="20"/>
  <c r="N181" i="20"/>
  <c r="P171" i="21"/>
  <c r="O172" i="21"/>
  <c r="O156" i="20"/>
  <c r="P155" i="20"/>
  <c r="O133" i="20"/>
  <c r="P132" i="20"/>
  <c r="P196" i="21"/>
  <c r="O184" i="21"/>
  <c r="R169" i="5"/>
  <c r="Q170" i="5"/>
  <c r="O160" i="21"/>
  <c r="P159" i="21"/>
  <c r="O164" i="5"/>
  <c r="O140" i="5"/>
  <c r="P138" i="20"/>
  <c r="O139" i="20"/>
  <c r="P208" i="20"/>
  <c r="O206" i="20"/>
  <c r="O207" i="20" s="1"/>
  <c r="R173" i="5"/>
  <c r="Q174" i="5"/>
  <c r="P138" i="21"/>
  <c r="O139" i="21"/>
  <c r="M211" i="20"/>
  <c r="G229" i="20"/>
  <c r="G238" i="20" s="1"/>
  <c r="N181" i="21"/>
  <c r="N125" i="20"/>
  <c r="O129" i="21"/>
  <c r="P128" i="21"/>
  <c r="N151" i="21"/>
  <c r="N152" i="21" s="1"/>
  <c r="K212" i="21"/>
  <c r="K178" i="21"/>
  <c r="P161" i="20"/>
  <c r="O162" i="20"/>
  <c r="O129" i="20"/>
  <c r="P128" i="20"/>
  <c r="P195" i="20"/>
  <c r="O183" i="20"/>
  <c r="P163" i="5"/>
  <c r="P199" i="20"/>
  <c r="O187" i="20"/>
  <c r="J228" i="5"/>
  <c r="J237" i="20"/>
  <c r="J229" i="20" s="1"/>
  <c r="J238" i="20" s="1"/>
  <c r="K224" i="20"/>
  <c r="K225" i="20"/>
  <c r="K223" i="20"/>
  <c r="P198" i="21"/>
  <c r="O186" i="21"/>
  <c r="O137" i="21"/>
  <c r="P136" i="21"/>
  <c r="O156" i="21"/>
  <c r="P155" i="21"/>
  <c r="O150" i="20"/>
  <c r="P149" i="20"/>
  <c r="P171" i="20"/>
  <c r="O172" i="20"/>
  <c r="P169" i="20"/>
  <c r="O170" i="20"/>
  <c r="M225" i="5"/>
  <c r="M223" i="5"/>
  <c r="M224" i="5"/>
  <c r="L237" i="5"/>
  <c r="N163" i="21"/>
  <c r="N164" i="21" s="1"/>
  <c r="O158" i="20"/>
  <c r="P157" i="20"/>
  <c r="P197" i="21"/>
  <c r="O185" i="21"/>
  <c r="F228" i="21"/>
  <c r="P196" i="20"/>
  <c r="O184" i="20"/>
  <c r="M126" i="21"/>
  <c r="M215" i="21"/>
  <c r="M216" i="21"/>
  <c r="O201" i="21"/>
  <c r="P200" i="21"/>
  <c r="P147" i="20"/>
  <c r="O148" i="20"/>
  <c r="P198" i="20"/>
  <c r="O186" i="20"/>
  <c r="O162" i="21"/>
  <c r="P161" i="21"/>
  <c r="I224" i="20"/>
  <c r="H237" i="20"/>
  <c r="H229" i="20" s="1"/>
  <c r="I223" i="20"/>
  <c r="I225" i="20"/>
  <c r="I226" i="20" s="1"/>
  <c r="I227" i="20" s="1"/>
  <c r="I228" i="20" s="1"/>
  <c r="I237" i="20"/>
  <c r="I229" i="20" s="1"/>
  <c r="N125" i="21"/>
  <c r="R165" i="5"/>
  <c r="Q166" i="5"/>
  <c r="F228" i="20"/>
  <c r="P147" i="21"/>
  <c r="O148" i="21"/>
  <c r="N141" i="5"/>
  <c r="N222" i="5"/>
  <c r="O166" i="20"/>
  <c r="P165" i="20"/>
  <c r="M140" i="20"/>
  <c r="P175" i="21"/>
  <c r="O176" i="21"/>
  <c r="R171" i="5"/>
  <c r="Q172" i="5"/>
  <c r="O146" i="20"/>
  <c r="P145" i="20"/>
  <c r="P199" i="21"/>
  <c r="O187" i="21"/>
  <c r="N182" i="20"/>
  <c r="I239" i="5"/>
  <c r="P159" i="20"/>
  <c r="O160" i="20"/>
  <c r="P200" i="20"/>
  <c r="O201" i="20"/>
  <c r="P136" i="20"/>
  <c r="O137" i="20"/>
  <c r="P197" i="20"/>
  <c r="O185" i="20"/>
  <c r="O150" i="21"/>
  <c r="P149" i="21"/>
  <c r="N143" i="21"/>
  <c r="E239" i="21"/>
  <c r="P167" i="20"/>
  <c r="O168" i="20"/>
  <c r="N163" i="20"/>
  <c r="N164" i="20" s="1"/>
  <c r="O158" i="21"/>
  <c r="P157" i="21"/>
  <c r="M164" i="20"/>
  <c r="N143" i="20"/>
  <c r="P130" i="21"/>
  <c r="O131" i="21"/>
  <c r="P195" i="21"/>
  <c r="O183" i="21"/>
  <c r="O166" i="21"/>
  <c r="P165" i="21"/>
  <c r="L141" i="20"/>
  <c r="L222" i="20"/>
  <c r="P173" i="21"/>
  <c r="O174" i="21"/>
  <c r="P153" i="20"/>
  <c r="O154" i="20"/>
  <c r="O146" i="21"/>
  <c r="P145" i="21"/>
  <c r="N151" i="20"/>
  <c r="N152" i="20" s="1"/>
  <c r="P169" i="21"/>
  <c r="O170" i="21"/>
  <c r="P173" i="20"/>
  <c r="O174" i="20"/>
  <c r="P132" i="21"/>
  <c r="O133" i="21"/>
  <c r="P167" i="21"/>
  <c r="O168" i="21"/>
  <c r="M152" i="21"/>
  <c r="R167" i="5"/>
  <c r="Q168" i="5"/>
  <c r="H226" i="20"/>
  <c r="L178" i="21"/>
  <c r="O131" i="20"/>
  <c r="P130" i="20"/>
  <c r="O154" i="21"/>
  <c r="P153" i="21"/>
  <c r="P175" i="20"/>
  <c r="O176" i="20"/>
  <c r="P208" i="21"/>
  <c r="O206" i="21"/>
  <c r="O207" i="21" s="1"/>
  <c r="O181" i="21" l="1"/>
  <c r="M211" i="21"/>
  <c r="O143" i="20"/>
  <c r="P168" i="20"/>
  <c r="Q167" i="20"/>
  <c r="Q195" i="20"/>
  <c r="P183" i="20"/>
  <c r="J239" i="5"/>
  <c r="K239" i="5" s="1"/>
  <c r="P133" i="20"/>
  <c r="Q132" i="20"/>
  <c r="O151" i="21"/>
  <c r="O152" i="21" s="1"/>
  <c r="P174" i="20"/>
  <c r="Q173" i="20"/>
  <c r="O144" i="20"/>
  <c r="Q163" i="5"/>
  <c r="P162" i="21"/>
  <c r="Q161" i="21"/>
  <c r="P156" i="21"/>
  <c r="Q155" i="21"/>
  <c r="P131" i="20"/>
  <c r="Q130" i="20"/>
  <c r="L225" i="20"/>
  <c r="K237" i="20"/>
  <c r="K229" i="20" s="1"/>
  <c r="L223" i="20"/>
  <c r="L224" i="20"/>
  <c r="Q136" i="21"/>
  <c r="P137" i="21"/>
  <c r="Q159" i="20"/>
  <c r="P160" i="20"/>
  <c r="I238" i="20"/>
  <c r="Q198" i="20"/>
  <c r="P186" i="20"/>
  <c r="Q169" i="20"/>
  <c r="P170" i="20"/>
  <c r="J238" i="5"/>
  <c r="O125" i="20"/>
  <c r="O125" i="21"/>
  <c r="Q138" i="21"/>
  <c r="P139" i="21"/>
  <c r="P174" i="21"/>
  <c r="Q173" i="21"/>
  <c r="M237" i="5"/>
  <c r="M229" i="5" s="1"/>
  <c r="N224" i="5"/>
  <c r="N225" i="5"/>
  <c r="N226" i="5" s="1"/>
  <c r="N227" i="5" s="1"/>
  <c r="N228" i="5" s="1"/>
  <c r="N223" i="5"/>
  <c r="M226" i="5"/>
  <c r="Q196" i="21"/>
  <c r="Q184" i="21" s="1"/>
  <c r="P184" i="21"/>
  <c r="N140" i="20"/>
  <c r="N141" i="20" s="1"/>
  <c r="N144" i="20"/>
  <c r="N126" i="21"/>
  <c r="N215" i="21"/>
  <c r="N216" i="21"/>
  <c r="Q145" i="21"/>
  <c r="P146" i="21"/>
  <c r="P176" i="21"/>
  <c r="Q175" i="21"/>
  <c r="O143" i="21"/>
  <c r="P160" i="21"/>
  <c r="Q159" i="21"/>
  <c r="Q155" i="20"/>
  <c r="P156" i="20"/>
  <c r="Q130" i="21"/>
  <c r="P131" i="21"/>
  <c r="M212" i="21"/>
  <c r="M178" i="21"/>
  <c r="M212" i="20"/>
  <c r="M178" i="20"/>
  <c r="M179" i="20" s="1"/>
  <c r="P170" i="21"/>
  <c r="Q169" i="21"/>
  <c r="P150" i="21"/>
  <c r="Q149" i="21"/>
  <c r="P129" i="20"/>
  <c r="Q128" i="20"/>
  <c r="L179" i="21"/>
  <c r="L222" i="21"/>
  <c r="Q208" i="21"/>
  <c r="P206" i="21"/>
  <c r="P207" i="21" s="1"/>
  <c r="Q167" i="21"/>
  <c r="P168" i="21"/>
  <c r="Q165" i="21"/>
  <c r="P166" i="21"/>
  <c r="H227" i="20"/>
  <c r="O163" i="21"/>
  <c r="O164" i="21" s="1"/>
  <c r="P158" i="21"/>
  <c r="Q157" i="21"/>
  <c r="Q197" i="20"/>
  <c r="P185" i="20"/>
  <c r="M141" i="20"/>
  <c r="Q147" i="21"/>
  <c r="P148" i="21"/>
  <c r="Q147" i="20"/>
  <c r="P148" i="20"/>
  <c r="Q196" i="20"/>
  <c r="P184" i="20"/>
  <c r="Q171" i="20"/>
  <c r="P172" i="20"/>
  <c r="Q198" i="21"/>
  <c r="Q186" i="21" s="1"/>
  <c r="P186" i="21"/>
  <c r="O181" i="20"/>
  <c r="P162" i="20"/>
  <c r="Q161" i="20"/>
  <c r="N126" i="20"/>
  <c r="N215" i="20"/>
  <c r="N211" i="20" s="1"/>
  <c r="N216" i="20"/>
  <c r="S173" i="5"/>
  <c r="R174" i="5"/>
  <c r="P201" i="20"/>
  <c r="Q200" i="20"/>
  <c r="P158" i="20"/>
  <c r="Q157" i="20"/>
  <c r="P129" i="21"/>
  <c r="P125" i="21" s="1"/>
  <c r="Q128" i="21"/>
  <c r="Q175" i="20"/>
  <c r="P176" i="20"/>
  <c r="Q132" i="21"/>
  <c r="P133" i="21"/>
  <c r="O151" i="20"/>
  <c r="O152" i="20" s="1"/>
  <c r="O182" i="21"/>
  <c r="Q199" i="21"/>
  <c r="Q187" i="21" s="1"/>
  <c r="D187" i="21" s="1"/>
  <c r="H188" i="22" s="1"/>
  <c r="P187" i="21"/>
  <c r="P166" i="20"/>
  <c r="Q165" i="20"/>
  <c r="F238" i="20"/>
  <c r="Q200" i="21"/>
  <c r="P201" i="21"/>
  <c r="F238" i="21"/>
  <c r="F239" i="21" s="1"/>
  <c r="G239" i="21" s="1"/>
  <c r="L229" i="5"/>
  <c r="Q149" i="20"/>
  <c r="P150" i="20"/>
  <c r="Q199" i="20"/>
  <c r="P187" i="20"/>
  <c r="N182" i="21"/>
  <c r="N144" i="21"/>
  <c r="N140" i="21"/>
  <c r="N141" i="21" s="1"/>
  <c r="S165" i="5"/>
  <c r="R166" i="5"/>
  <c r="Q197" i="21"/>
  <c r="Q185" i="21" s="1"/>
  <c r="P185" i="21"/>
  <c r="P139" i="20"/>
  <c r="Q138" i="20"/>
  <c r="S171" i="5"/>
  <c r="R172" i="5"/>
  <c r="O141" i="5"/>
  <c r="O222" i="5"/>
  <c r="Q153" i="21"/>
  <c r="P154" i="21"/>
  <c r="S167" i="5"/>
  <c r="R168" i="5"/>
  <c r="Q153" i="20"/>
  <c r="P154" i="20"/>
  <c r="Q195" i="21"/>
  <c r="Q183" i="21" s="1"/>
  <c r="P183" i="21"/>
  <c r="P137" i="20"/>
  <c r="Q136" i="20"/>
  <c r="Q145" i="20"/>
  <c r="P146" i="20"/>
  <c r="P143" i="20" s="1"/>
  <c r="O163" i="20"/>
  <c r="O164" i="20" s="1"/>
  <c r="K226" i="20"/>
  <c r="K227" i="20" s="1"/>
  <c r="K228" i="20" s="1"/>
  <c r="P164" i="5"/>
  <c r="P140" i="5"/>
  <c r="K179" i="21"/>
  <c r="K222" i="21"/>
  <c r="Q208" i="20"/>
  <c r="P206" i="20"/>
  <c r="P207" i="20" s="1"/>
  <c r="S169" i="5"/>
  <c r="R170" i="5"/>
  <c r="P172" i="21"/>
  <c r="Q171" i="21"/>
  <c r="D184" i="21" l="1"/>
  <c r="H185" i="22" s="1"/>
  <c r="P143" i="21"/>
  <c r="P181" i="20"/>
  <c r="D185" i="21"/>
  <c r="H186" i="22" s="1"/>
  <c r="D186" i="21"/>
  <c r="H187" i="22" s="1"/>
  <c r="P181" i="21"/>
  <c r="R163" i="5"/>
  <c r="R164" i="5" s="1"/>
  <c r="D249" i="21"/>
  <c r="H250" i="22" s="1"/>
  <c r="H239" i="21"/>
  <c r="I239" i="21" s="1"/>
  <c r="N212" i="20"/>
  <c r="N178" i="20"/>
  <c r="Q148" i="21"/>
  <c r="D148" i="21" s="1"/>
  <c r="H149" i="22" s="1"/>
  <c r="D147" i="21"/>
  <c r="H148" i="22" s="1"/>
  <c r="K237" i="21"/>
  <c r="K229" i="21" s="1"/>
  <c r="L223" i="21"/>
  <c r="L224" i="21"/>
  <c r="L225" i="21"/>
  <c r="L226" i="21" s="1"/>
  <c r="L227" i="21" s="1"/>
  <c r="L228" i="21" s="1"/>
  <c r="R155" i="20"/>
  <c r="Q156" i="20"/>
  <c r="N211" i="21"/>
  <c r="Q133" i="20"/>
  <c r="R132" i="20"/>
  <c r="Q206" i="20"/>
  <c r="Q207" i="20" s="1"/>
  <c r="R208" i="20"/>
  <c r="R199" i="20"/>
  <c r="R187" i="20" s="1"/>
  <c r="Q187" i="20"/>
  <c r="R171" i="20"/>
  <c r="Q172" i="20"/>
  <c r="Q139" i="21"/>
  <c r="D139" i="21" s="1"/>
  <c r="H140" i="22" s="1"/>
  <c r="D138" i="21"/>
  <c r="H139" i="22" s="1"/>
  <c r="R198" i="20"/>
  <c r="R186" i="20" s="1"/>
  <c r="Q186" i="20"/>
  <c r="Q154" i="20"/>
  <c r="R153" i="20"/>
  <c r="P163" i="21"/>
  <c r="P164" i="21" s="1"/>
  <c r="Q129" i="20"/>
  <c r="R128" i="20"/>
  <c r="P151" i="21"/>
  <c r="P152" i="21" s="1"/>
  <c r="O126" i="21"/>
  <c r="O216" i="21"/>
  <c r="O215" i="21"/>
  <c r="L226" i="20"/>
  <c r="L227" i="20" s="1"/>
  <c r="L228" i="20" s="1"/>
  <c r="O140" i="20"/>
  <c r="O141" i="20" s="1"/>
  <c r="Q181" i="21"/>
  <c r="D183" i="21"/>
  <c r="H184" i="22" s="1"/>
  <c r="Q150" i="20"/>
  <c r="R149" i="20"/>
  <c r="F239" i="20"/>
  <c r="G239" i="20" s="1"/>
  <c r="Q201" i="20"/>
  <c r="R200" i="20"/>
  <c r="R161" i="20"/>
  <c r="Q162" i="20"/>
  <c r="Q166" i="21"/>
  <c r="D165" i="21"/>
  <c r="H166" i="22" s="1"/>
  <c r="P125" i="20"/>
  <c r="M179" i="21"/>
  <c r="M222" i="21"/>
  <c r="O144" i="21"/>
  <c r="O140" i="21"/>
  <c r="O141" i="21" s="1"/>
  <c r="O126" i="20"/>
  <c r="O216" i="20"/>
  <c r="O215" i="20"/>
  <c r="Q131" i="20"/>
  <c r="R130" i="20"/>
  <c r="S166" i="5"/>
  <c r="D165" i="5"/>
  <c r="D166" i="22" s="1"/>
  <c r="Q158" i="20"/>
  <c r="R157" i="20"/>
  <c r="M222" i="20"/>
  <c r="K238" i="20"/>
  <c r="P144" i="20"/>
  <c r="R145" i="20"/>
  <c r="Q146" i="20"/>
  <c r="S168" i="5"/>
  <c r="D168" i="5" s="1"/>
  <c r="D169" i="22" s="1"/>
  <c r="D167" i="5"/>
  <c r="D168" i="22" s="1"/>
  <c r="R138" i="20"/>
  <c r="Q139" i="20"/>
  <c r="R165" i="20"/>
  <c r="Q166" i="20"/>
  <c r="Q133" i="21"/>
  <c r="D133" i="21" s="1"/>
  <c r="H134" i="22" s="1"/>
  <c r="D132" i="21"/>
  <c r="H133" i="22" s="1"/>
  <c r="R196" i="20"/>
  <c r="R184" i="20" s="1"/>
  <c r="Q184" i="20"/>
  <c r="R197" i="20"/>
  <c r="R185" i="20" s="1"/>
  <c r="Q185" i="20"/>
  <c r="Q150" i="21"/>
  <c r="D150" i="21" s="1"/>
  <c r="H151" i="22" s="1"/>
  <c r="D149" i="21"/>
  <c r="H150" i="22" s="1"/>
  <c r="Q176" i="21"/>
  <c r="D176" i="21" s="1"/>
  <c r="H177" i="22" s="1"/>
  <c r="D175" i="21"/>
  <c r="H176" i="22" s="1"/>
  <c r="Q160" i="20"/>
  <c r="R159" i="20"/>
  <c r="R195" i="20"/>
  <c r="R183" i="20" s="1"/>
  <c r="Q183" i="20"/>
  <c r="P182" i="20"/>
  <c r="H228" i="20"/>
  <c r="Q160" i="21"/>
  <c r="D160" i="21" s="1"/>
  <c r="H161" i="22" s="1"/>
  <c r="D159" i="21"/>
  <c r="H160" i="22" s="1"/>
  <c r="M227" i="5"/>
  <c r="Q172" i="21"/>
  <c r="D172" i="21" s="1"/>
  <c r="H173" i="22" s="1"/>
  <c r="D171" i="21"/>
  <c r="H172" i="22" s="1"/>
  <c r="P222" i="5"/>
  <c r="P141" i="5"/>
  <c r="L238" i="5"/>
  <c r="L239" i="5" s="1"/>
  <c r="P163" i="20"/>
  <c r="P164" i="20" s="1"/>
  <c r="O182" i="20"/>
  <c r="Q158" i="21"/>
  <c r="D158" i="21" s="1"/>
  <c r="H159" i="22" s="1"/>
  <c r="D157" i="21"/>
  <c r="H158" i="22" s="1"/>
  <c r="Q168" i="21"/>
  <c r="D168" i="21" s="1"/>
  <c r="H169" i="22" s="1"/>
  <c r="D167" i="21"/>
  <c r="H168" i="22" s="1"/>
  <c r="Q156" i="21"/>
  <c r="D156" i="21" s="1"/>
  <c r="H157" i="22" s="1"/>
  <c r="D155" i="21"/>
  <c r="H156" i="22" s="1"/>
  <c r="R173" i="20"/>
  <c r="Q174" i="20"/>
  <c r="R167" i="20"/>
  <c r="Q168" i="20"/>
  <c r="N237" i="5"/>
  <c r="O223" i="5"/>
  <c r="O225" i="5"/>
  <c r="O224" i="5"/>
  <c r="Q201" i="21"/>
  <c r="D200" i="21"/>
  <c r="H201" i="22" s="1"/>
  <c r="Q164" i="5"/>
  <c r="Q140" i="5"/>
  <c r="J237" i="21"/>
  <c r="K223" i="21"/>
  <c r="K225" i="21"/>
  <c r="K224" i="21"/>
  <c r="S172" i="5"/>
  <c r="D172" i="5" s="1"/>
  <c r="D173" i="22" s="1"/>
  <c r="D171" i="5"/>
  <c r="D172" i="22" s="1"/>
  <c r="Q137" i="20"/>
  <c r="R136" i="20"/>
  <c r="S170" i="5"/>
  <c r="D170" i="5" s="1"/>
  <c r="D171" i="22" s="1"/>
  <c r="D169" i="5"/>
  <c r="D170" i="22" s="1"/>
  <c r="Q154" i="21"/>
  <c r="D153" i="21"/>
  <c r="H154" i="22" s="1"/>
  <c r="R175" i="20"/>
  <c r="Q176" i="20"/>
  <c r="S174" i="5"/>
  <c r="D174" i="5" s="1"/>
  <c r="D175" i="22" s="1"/>
  <c r="D173" i="5"/>
  <c r="D174" i="22" s="1"/>
  <c r="Q148" i="20"/>
  <c r="R147" i="20"/>
  <c r="Q170" i="21"/>
  <c r="D170" i="21" s="1"/>
  <c r="H171" i="22" s="1"/>
  <c r="D169" i="21"/>
  <c r="H170" i="22" s="1"/>
  <c r="Q131" i="21"/>
  <c r="D131" i="21" s="1"/>
  <c r="H132" i="22" s="1"/>
  <c r="D130" i="21"/>
  <c r="H131" i="22" s="1"/>
  <c r="Q174" i="21"/>
  <c r="D174" i="21" s="1"/>
  <c r="H175" i="22" s="1"/>
  <c r="D173" i="21"/>
  <c r="H174" i="22" s="1"/>
  <c r="Q137" i="21"/>
  <c r="D137" i="21" s="1"/>
  <c r="H138" i="22" s="1"/>
  <c r="D136" i="21"/>
  <c r="H137" i="22" s="1"/>
  <c r="P126" i="21"/>
  <c r="P216" i="21"/>
  <c r="P215" i="21"/>
  <c r="P182" i="21"/>
  <c r="Q129" i="21"/>
  <c r="D128" i="21"/>
  <c r="H129" i="22" s="1"/>
  <c r="P144" i="21"/>
  <c r="Q206" i="21"/>
  <c r="D208" i="21"/>
  <c r="H209" i="22" s="1"/>
  <c r="P151" i="20"/>
  <c r="P152" i="20" s="1"/>
  <c r="Q146" i="21"/>
  <c r="D145" i="21"/>
  <c r="H146" i="22" s="1"/>
  <c r="R169" i="20"/>
  <c r="Q170" i="20"/>
  <c r="Q162" i="21"/>
  <c r="D162" i="21" s="1"/>
  <c r="H163" i="22" s="1"/>
  <c r="D161" i="21"/>
  <c r="H162" i="22" s="1"/>
  <c r="O211" i="20" l="1"/>
  <c r="O212" i="20" s="1"/>
  <c r="R140" i="5"/>
  <c r="M228" i="5"/>
  <c r="D183" i="20"/>
  <c r="F184" i="22" s="1"/>
  <c r="E184" i="22" s="1"/>
  <c r="D185" i="20"/>
  <c r="F186" i="22" s="1"/>
  <c r="R139" i="20"/>
  <c r="D139" i="20" s="1"/>
  <c r="F140" i="22" s="1"/>
  <c r="E140" i="22" s="1"/>
  <c r="D138" i="20"/>
  <c r="F139" i="22" s="1"/>
  <c r="E139" i="22" s="1"/>
  <c r="L237" i="20"/>
  <c r="M225" i="20"/>
  <c r="M223" i="20"/>
  <c r="M224" i="20"/>
  <c r="P126" i="20"/>
  <c r="P215" i="20"/>
  <c r="P216" i="20"/>
  <c r="G184" i="22"/>
  <c r="O211" i="21"/>
  <c r="R154" i="20"/>
  <c r="D153" i="20"/>
  <c r="F154" i="22" s="1"/>
  <c r="E154" i="22" s="1"/>
  <c r="Q181" i="20"/>
  <c r="R156" i="20"/>
  <c r="D156" i="20" s="1"/>
  <c r="F157" i="22" s="1"/>
  <c r="E157" i="22" s="1"/>
  <c r="D155" i="20"/>
  <c r="F156" i="22" s="1"/>
  <c r="E156" i="22" s="1"/>
  <c r="N179" i="20"/>
  <c r="N222" i="20"/>
  <c r="G160" i="22"/>
  <c r="R160" i="20"/>
  <c r="D160" i="20" s="1"/>
  <c r="F161" i="22" s="1"/>
  <c r="E161" i="22" s="1"/>
  <c r="D159" i="20"/>
  <c r="F160" i="22" s="1"/>
  <c r="E160" i="22" s="1"/>
  <c r="R158" i="20"/>
  <c r="D158" i="20" s="1"/>
  <c r="F159" i="22" s="1"/>
  <c r="E159" i="22" s="1"/>
  <c r="D157" i="20"/>
  <c r="F158" i="22" s="1"/>
  <c r="E158" i="22" s="1"/>
  <c r="Q182" i="21"/>
  <c r="D181" i="21"/>
  <c r="Q151" i="20"/>
  <c r="Q152" i="20" s="1"/>
  <c r="R181" i="20"/>
  <c r="D187" i="20"/>
  <c r="F188" i="22" s="1"/>
  <c r="R168" i="20"/>
  <c r="D168" i="20" s="1"/>
  <c r="F169" i="22" s="1"/>
  <c r="D167" i="20"/>
  <c r="F168" i="22" s="1"/>
  <c r="E168" i="22" s="1"/>
  <c r="P140" i="21"/>
  <c r="R174" i="20"/>
  <c r="D174" i="20" s="1"/>
  <c r="F175" i="22" s="1"/>
  <c r="E175" i="22" s="1"/>
  <c r="D173" i="20"/>
  <c r="F174" i="22" s="1"/>
  <c r="P211" i="21"/>
  <c r="G132" i="22"/>
  <c r="R176" i="20"/>
  <c r="D176" i="20" s="1"/>
  <c r="F177" i="22" s="1"/>
  <c r="E177" i="22" s="1"/>
  <c r="D175" i="20"/>
  <c r="F176" i="22" s="1"/>
  <c r="E176" i="22" s="1"/>
  <c r="Q151" i="21"/>
  <c r="D154" i="21"/>
  <c r="H155" i="22" s="1"/>
  <c r="G156" i="22"/>
  <c r="G168" i="22"/>
  <c r="G161" i="22"/>
  <c r="D184" i="20"/>
  <c r="F185" i="22" s="1"/>
  <c r="E169" i="22"/>
  <c r="Q163" i="21"/>
  <c r="D166" i="21"/>
  <c r="H167" i="22" s="1"/>
  <c r="R206" i="20"/>
  <c r="D208" i="20"/>
  <c r="F209" i="22" s="1"/>
  <c r="E209" i="22" s="1"/>
  <c r="R222" i="5"/>
  <c r="R141" i="5"/>
  <c r="Q207" i="21"/>
  <c r="D207" i="21" s="1"/>
  <c r="H208" i="22" s="1"/>
  <c r="D206" i="21"/>
  <c r="H207" i="22" s="1"/>
  <c r="R172" i="20"/>
  <c r="D172" i="20" s="1"/>
  <c r="F173" i="22" s="1"/>
  <c r="E173" i="22" s="1"/>
  <c r="D171" i="20"/>
  <c r="F172" i="22" s="1"/>
  <c r="E172" i="22" s="1"/>
  <c r="K226" i="21"/>
  <c r="O226" i="5"/>
  <c r="G157" i="22"/>
  <c r="G169" i="22"/>
  <c r="G176" i="22"/>
  <c r="Q143" i="20"/>
  <c r="D186" i="20"/>
  <c r="F187" i="22" s="1"/>
  <c r="Q143" i="21"/>
  <c r="D146" i="21"/>
  <c r="H147" i="22" s="1"/>
  <c r="G158" i="22"/>
  <c r="P223" i="5"/>
  <c r="P225" i="5"/>
  <c r="P226" i="5" s="1"/>
  <c r="P227" i="5" s="1"/>
  <c r="P228" i="5" s="1"/>
  <c r="P224" i="5"/>
  <c r="O237" i="5"/>
  <c r="O229" i="5" s="1"/>
  <c r="H238" i="20"/>
  <c r="H239" i="20" s="1"/>
  <c r="I239" i="20" s="1"/>
  <c r="J239" i="20" s="1"/>
  <c r="K239" i="20" s="1"/>
  <c r="G177" i="22"/>
  <c r="R146" i="20"/>
  <c r="D145" i="20"/>
  <c r="F146" i="22" s="1"/>
  <c r="E146" i="22" s="1"/>
  <c r="S163" i="5"/>
  <c r="D166" i="5"/>
  <c r="D167" i="22" s="1"/>
  <c r="R162" i="20"/>
  <c r="D162" i="20" s="1"/>
  <c r="F163" i="22" s="1"/>
  <c r="E163" i="22" s="1"/>
  <c r="D161" i="20"/>
  <c r="F162" i="22" s="1"/>
  <c r="E162" i="22" s="1"/>
  <c r="G139" i="22"/>
  <c r="R133" i="20"/>
  <c r="D133" i="20" s="1"/>
  <c r="F134" i="22" s="1"/>
  <c r="E134" i="22" s="1"/>
  <c r="D132" i="20"/>
  <c r="F133" i="22" s="1"/>
  <c r="E133" i="22" s="1"/>
  <c r="R170" i="20"/>
  <c r="D170" i="20" s="1"/>
  <c r="F171" i="22" s="1"/>
  <c r="E171" i="22" s="1"/>
  <c r="D169" i="20"/>
  <c r="F170" i="22" s="1"/>
  <c r="E170" i="22" s="1"/>
  <c r="Q125" i="21"/>
  <c r="D129" i="21"/>
  <c r="H130" i="22" s="1"/>
  <c r="R148" i="20"/>
  <c r="D148" i="20" s="1"/>
  <c r="F149" i="22" s="1"/>
  <c r="E149" i="22" s="1"/>
  <c r="D147" i="20"/>
  <c r="F148" i="22" s="1"/>
  <c r="E148" i="22" s="1"/>
  <c r="R137" i="20"/>
  <c r="D137" i="20" s="1"/>
  <c r="F138" i="22" s="1"/>
  <c r="E138" i="22" s="1"/>
  <c r="D136" i="20"/>
  <c r="F137" i="22" s="1"/>
  <c r="E137" i="22" s="1"/>
  <c r="J229" i="21"/>
  <c r="N229" i="5"/>
  <c r="G159" i="22"/>
  <c r="G172" i="22"/>
  <c r="Q163" i="20"/>
  <c r="Q164" i="20" s="1"/>
  <c r="P140" i="20"/>
  <c r="P141" i="20" s="1"/>
  <c r="R131" i="20"/>
  <c r="D131" i="20" s="1"/>
  <c r="F132" i="22" s="1"/>
  <c r="E132" i="22" s="1"/>
  <c r="D130" i="20"/>
  <c r="F131" i="22" s="1"/>
  <c r="E131" i="22" s="1"/>
  <c r="R201" i="20"/>
  <c r="D200" i="20"/>
  <c r="F201" i="22" s="1"/>
  <c r="E201" i="22" s="1"/>
  <c r="R129" i="20"/>
  <c r="D128" i="20"/>
  <c r="F129" i="22" s="1"/>
  <c r="E129" i="22" s="1"/>
  <c r="G140" i="22"/>
  <c r="G162" i="22"/>
  <c r="G209" i="22"/>
  <c r="Q141" i="5"/>
  <c r="Q222" i="5"/>
  <c r="O178" i="20"/>
  <c r="G173" i="22"/>
  <c r="G151" i="22"/>
  <c r="R166" i="20"/>
  <c r="D165" i="20"/>
  <c r="F166" i="22" s="1"/>
  <c r="E166" i="22" s="1"/>
  <c r="L237" i="21"/>
  <c r="L229" i="21" s="1"/>
  <c r="L238" i="21" s="1"/>
  <c r="M223" i="21"/>
  <c r="M224" i="21"/>
  <c r="M225" i="21"/>
  <c r="M226" i="21" s="1"/>
  <c r="M227" i="21" s="1"/>
  <c r="M228" i="21" s="1"/>
  <c r="R150" i="20"/>
  <c r="D150" i="20" s="1"/>
  <c r="F151" i="22" s="1"/>
  <c r="E151" i="22" s="1"/>
  <c r="D149" i="20"/>
  <c r="F150" i="22" s="1"/>
  <c r="E150" i="22" s="1"/>
  <c r="Q125" i="20"/>
  <c r="N212" i="21"/>
  <c r="N178" i="21"/>
  <c r="G148" i="22"/>
  <c r="G149" i="22" l="1"/>
  <c r="G146" i="22"/>
  <c r="G137" i="22"/>
  <c r="G150" i="22"/>
  <c r="N179" i="21"/>
  <c r="N222" i="21"/>
  <c r="S164" i="5"/>
  <c r="S140" i="5"/>
  <c r="D163" i="5"/>
  <c r="E185" i="22"/>
  <c r="G185" i="22"/>
  <c r="R182" i="20"/>
  <c r="D181" i="20"/>
  <c r="G138" i="22"/>
  <c r="R125" i="20"/>
  <c r="D129" i="20"/>
  <c r="F130" i="22" s="1"/>
  <c r="E130" i="22" s="1"/>
  <c r="G133" i="22"/>
  <c r="G170" i="22"/>
  <c r="P212" i="21"/>
  <c r="P178" i="21"/>
  <c r="P179" i="21" s="1"/>
  <c r="R151" i="20"/>
  <c r="D154" i="20"/>
  <c r="F155" i="22" s="1"/>
  <c r="E155" i="22" s="1"/>
  <c r="M238" i="5"/>
  <c r="Q126" i="20"/>
  <c r="Q216" i="20"/>
  <c r="Q215" i="20"/>
  <c r="Q211" i="20" s="1"/>
  <c r="Q212" i="20" s="1"/>
  <c r="G174" i="22"/>
  <c r="E174" i="22"/>
  <c r="O212" i="21"/>
  <c r="O178" i="21"/>
  <c r="G134" i="22"/>
  <c r="M237" i="20"/>
  <c r="M229" i="20" s="1"/>
  <c r="N223" i="20"/>
  <c r="N224" i="20"/>
  <c r="N225" i="20"/>
  <c r="N226" i="20" s="1"/>
  <c r="N227" i="20" s="1"/>
  <c r="N228" i="20" s="1"/>
  <c r="L229" i="20"/>
  <c r="L238" i="20" s="1"/>
  <c r="L239" i="20" s="1"/>
  <c r="G175" i="22"/>
  <c r="N238" i="5"/>
  <c r="G171" i="22"/>
  <c r="G154" i="22"/>
  <c r="R207" i="20"/>
  <c r="D207" i="20" s="1"/>
  <c r="F208" i="22" s="1"/>
  <c r="E208" i="22" s="1"/>
  <c r="D206" i="20"/>
  <c r="F207" i="22" s="1"/>
  <c r="E207" i="22" s="1"/>
  <c r="P141" i="21"/>
  <c r="P222" i="21"/>
  <c r="D249" i="20"/>
  <c r="F250" i="22" s="1"/>
  <c r="G250" i="22" s="1"/>
  <c r="R163" i="20"/>
  <c r="D166" i="20"/>
  <c r="F167" i="22" s="1"/>
  <c r="E167" i="22" s="1"/>
  <c r="M226" i="20"/>
  <c r="Q126" i="21"/>
  <c r="Q216" i="21"/>
  <c r="Q215" i="21"/>
  <c r="D215" i="21" s="1"/>
  <c r="H216" i="22" s="1"/>
  <c r="D125" i="21"/>
  <c r="Q152" i="21"/>
  <c r="D151" i="21"/>
  <c r="G166" i="22"/>
  <c r="P211" i="20"/>
  <c r="Q144" i="20"/>
  <c r="Q140" i="20"/>
  <c r="Q141" i="20" s="1"/>
  <c r="R143" i="20"/>
  <c r="D146" i="20"/>
  <c r="F147" i="22" s="1"/>
  <c r="E147" i="22" s="1"/>
  <c r="G129" i="22"/>
  <c r="G131" i="22"/>
  <c r="O179" i="20"/>
  <c r="O222" i="20"/>
  <c r="J238" i="21"/>
  <c r="Q140" i="21"/>
  <c r="Q144" i="21"/>
  <c r="D143" i="21"/>
  <c r="O227" i="5"/>
  <c r="Q164" i="21"/>
  <c r="D163" i="21"/>
  <c r="E186" i="22"/>
  <c r="G186" i="22"/>
  <c r="G163" i="22"/>
  <c r="K227" i="21"/>
  <c r="R224" i="5"/>
  <c r="R225" i="5"/>
  <c r="R226" i="5" s="1"/>
  <c r="R227" i="5" s="1"/>
  <c r="R228" i="5" s="1"/>
  <c r="R223" i="5"/>
  <c r="D182" i="21"/>
  <c r="H183" i="22" s="1"/>
  <c r="H182" i="22"/>
  <c r="G201" i="22"/>
  <c r="Q237" i="5"/>
  <c r="Q229" i="5" s="1"/>
  <c r="Q225" i="5"/>
  <c r="Q223" i="5"/>
  <c r="Q224" i="5"/>
  <c r="P237" i="5"/>
  <c r="E187" i="22"/>
  <c r="G187" i="22"/>
  <c r="E188" i="22"/>
  <c r="G188" i="22"/>
  <c r="Q182" i="20"/>
  <c r="Q178" i="20"/>
  <c r="Q179" i="20" s="1"/>
  <c r="G208" i="22" l="1"/>
  <c r="G167" i="22"/>
  <c r="J239" i="21"/>
  <c r="Q141" i="21"/>
  <c r="D140" i="21"/>
  <c r="D126" i="21"/>
  <c r="H127" i="22" s="1"/>
  <c r="H126" i="22"/>
  <c r="R164" i="20"/>
  <c r="D163" i="20"/>
  <c r="D182" i="20"/>
  <c r="F183" i="22" s="1"/>
  <c r="E183" i="22" s="1"/>
  <c r="F182" i="22"/>
  <c r="E182" i="22" s="1"/>
  <c r="O228" i="5"/>
  <c r="D144" i="21"/>
  <c r="H145" i="22" s="1"/>
  <c r="H144" i="22"/>
  <c r="G147" i="22"/>
  <c r="S222" i="5"/>
  <c r="S141" i="5"/>
  <c r="D140" i="5"/>
  <c r="G130" i="22"/>
  <c r="M237" i="21"/>
  <c r="N223" i="21"/>
  <c r="N224" i="21"/>
  <c r="N225" i="21"/>
  <c r="D164" i="21"/>
  <c r="H165" i="22" s="1"/>
  <c r="H164" i="22"/>
  <c r="N237" i="20"/>
  <c r="O225" i="20"/>
  <c r="O223" i="20"/>
  <c r="O224" i="20"/>
  <c r="P212" i="20"/>
  <c r="P178" i="20"/>
  <c r="Q211" i="21"/>
  <c r="D216" i="21"/>
  <c r="H217" i="22" s="1"/>
  <c r="P223" i="21"/>
  <c r="P225" i="21"/>
  <c r="P224" i="21"/>
  <c r="Q222" i="20"/>
  <c r="M239" i="5"/>
  <c r="N239" i="5" s="1"/>
  <c r="G207" i="22"/>
  <c r="R126" i="20"/>
  <c r="R216" i="20"/>
  <c r="D216" i="20" s="1"/>
  <c r="F217" i="22" s="1"/>
  <c r="E217" i="22" s="1"/>
  <c r="R215" i="20"/>
  <c r="D125" i="20"/>
  <c r="P229" i="5"/>
  <c r="K228" i="21"/>
  <c r="M227" i="20"/>
  <c r="D164" i="5"/>
  <c r="D165" i="22" s="1"/>
  <c r="D164" i="22"/>
  <c r="R144" i="20"/>
  <c r="R140" i="20"/>
  <c r="D143" i="20"/>
  <c r="R152" i="20"/>
  <c r="D151" i="20"/>
  <c r="Q226" i="5"/>
  <c r="D152" i="21"/>
  <c r="H153" i="22" s="1"/>
  <c r="H152" i="22"/>
  <c r="G155" i="22"/>
  <c r="O179" i="21"/>
  <c r="O222" i="21"/>
  <c r="N237" i="21" l="1"/>
  <c r="N229" i="21" s="1"/>
  <c r="O223" i="21"/>
  <c r="O224" i="21"/>
  <c r="O225" i="21"/>
  <c r="D144" i="20"/>
  <c r="F145" i="22" s="1"/>
  <c r="E145" i="22" s="1"/>
  <c r="F144" i="22"/>
  <c r="E144" i="22" s="1"/>
  <c r="K238" i="21"/>
  <c r="K239" i="21" s="1"/>
  <c r="L239" i="21" s="1"/>
  <c r="G217" i="22"/>
  <c r="M229" i="21"/>
  <c r="D152" i="20"/>
  <c r="F153" i="22" s="1"/>
  <c r="E153" i="22" s="1"/>
  <c r="F152" i="22"/>
  <c r="E152" i="22" s="1"/>
  <c r="S237" i="5"/>
  <c r="S229" i="5" s="1"/>
  <c r="S223" i="5"/>
  <c r="R237" i="5"/>
  <c r="S225" i="5"/>
  <c r="S224" i="5"/>
  <c r="D224" i="5" s="1"/>
  <c r="D222" i="5"/>
  <c r="R141" i="20"/>
  <c r="D140" i="20"/>
  <c r="P179" i="20"/>
  <c r="P222" i="20"/>
  <c r="P237" i="20" s="1"/>
  <c r="P229" i="20" s="1"/>
  <c r="D141" i="21"/>
  <c r="H142" i="22" s="1"/>
  <c r="H141" i="22"/>
  <c r="M228" i="20"/>
  <c r="O226" i="20"/>
  <c r="O227" i="20" s="1"/>
  <c r="O228" i="20" s="1"/>
  <c r="R211" i="20"/>
  <c r="D215" i="20"/>
  <c r="F216" i="22" s="1"/>
  <c r="Q223" i="20"/>
  <c r="Q225" i="20"/>
  <c r="Q226" i="20" s="1"/>
  <c r="Q227" i="20" s="1"/>
  <c r="Q228" i="20" s="1"/>
  <c r="Q224" i="20"/>
  <c r="O238" i="5"/>
  <c r="O239" i="5" s="1"/>
  <c r="P239" i="5" s="1"/>
  <c r="O237" i="21"/>
  <c r="O229" i="21" s="1"/>
  <c r="D141" i="5"/>
  <c r="D142" i="22" s="1"/>
  <c r="D141" i="22"/>
  <c r="G183" i="22"/>
  <c r="G182" i="22"/>
  <c r="D126" i="20"/>
  <c r="F127" i="22" s="1"/>
  <c r="E127" i="22" s="1"/>
  <c r="F126" i="22"/>
  <c r="E126" i="22" s="1"/>
  <c r="D164" i="20"/>
  <c r="F165" i="22" s="1"/>
  <c r="E165" i="22" s="1"/>
  <c r="F164" i="22"/>
  <c r="E164" i="22" s="1"/>
  <c r="N229" i="20"/>
  <c r="N238" i="20" s="1"/>
  <c r="Q212" i="21"/>
  <c r="D211" i="21"/>
  <c r="Q178" i="21"/>
  <c r="Q227" i="5"/>
  <c r="P238" i="5"/>
  <c r="P226" i="21"/>
  <c r="P227" i="21" s="1"/>
  <c r="P228" i="21" s="1"/>
  <c r="N226" i="21"/>
  <c r="G144" i="22" l="1"/>
  <c r="N227" i="21"/>
  <c r="Q179" i="21"/>
  <c r="D178" i="21"/>
  <c r="Q222" i="21"/>
  <c r="G145" i="22"/>
  <c r="G165" i="22"/>
  <c r="D223" i="5"/>
  <c r="D224" i="22" s="1"/>
  <c r="D223" i="22"/>
  <c r="G126" i="22"/>
  <c r="D141" i="20"/>
  <c r="F142" i="22" s="1"/>
  <c r="E142" i="22" s="1"/>
  <c r="F141" i="22"/>
  <c r="E141" i="22" s="1"/>
  <c r="E216" i="22"/>
  <c r="G216" i="22"/>
  <c r="R212" i="20"/>
  <c r="D211" i="20"/>
  <c r="R178" i="20"/>
  <c r="S226" i="5"/>
  <c r="D225" i="5"/>
  <c r="D226" i="22" s="1"/>
  <c r="O226" i="21"/>
  <c r="O227" i="21" s="1"/>
  <c r="O228" i="21" s="1"/>
  <c r="O238" i="21" s="1"/>
  <c r="M238" i="20"/>
  <c r="D212" i="21"/>
  <c r="H213" i="22" s="1"/>
  <c r="H212" i="22"/>
  <c r="D225" i="22"/>
  <c r="G152" i="22"/>
  <c r="G153" i="22"/>
  <c r="R229" i="5"/>
  <c r="D237" i="5"/>
  <c r="D238" i="22" s="1"/>
  <c r="M238" i="21"/>
  <c r="M239" i="21" s="1"/>
  <c r="Q228" i="5"/>
  <c r="O237" i="20"/>
  <c r="O229" i="20" s="1"/>
  <c r="O238" i="20" s="1"/>
  <c r="P224" i="20"/>
  <c r="P225" i="20"/>
  <c r="P223" i="20"/>
  <c r="G127" i="22"/>
  <c r="G164" i="22"/>
  <c r="P226" i="20" l="1"/>
  <c r="P227" i="20" s="1"/>
  <c r="P228" i="20" s="1"/>
  <c r="R238" i="5"/>
  <c r="D229" i="5"/>
  <c r="P237" i="21"/>
  <c r="P229" i="21" s="1"/>
  <c r="Q237" i="21"/>
  <c r="Q223" i="21"/>
  <c r="Q225" i="21"/>
  <c r="Q224" i="21"/>
  <c r="D224" i="21" s="1"/>
  <c r="H225" i="22" s="1"/>
  <c r="D222" i="21"/>
  <c r="S227" i="5"/>
  <c r="D226" i="5"/>
  <c r="D227" i="22" s="1"/>
  <c r="M239" i="20"/>
  <c r="N239" i="20" s="1"/>
  <c r="O239" i="20" s="1"/>
  <c r="R179" i="20"/>
  <c r="D178" i="20"/>
  <c r="R222" i="20"/>
  <c r="D179" i="21"/>
  <c r="H180" i="22" s="1"/>
  <c r="H179" i="22"/>
  <c r="Q238" i="5"/>
  <c r="D212" i="20"/>
  <c r="F213" i="22" s="1"/>
  <c r="E213" i="22" s="1"/>
  <c r="F212" i="22"/>
  <c r="E212" i="22" s="1"/>
  <c r="N228" i="21"/>
  <c r="G142" i="22"/>
  <c r="G141" i="22"/>
  <c r="P238" i="20" l="1"/>
  <c r="P238" i="21"/>
  <c r="D230" i="22"/>
  <c r="D247" i="5"/>
  <c r="D248" i="22" s="1"/>
  <c r="P239" i="20"/>
  <c r="R237" i="20"/>
  <c r="Q237" i="20"/>
  <c r="Q229" i="20" s="1"/>
  <c r="Q238" i="20" s="1"/>
  <c r="R223" i="20"/>
  <c r="R224" i="20"/>
  <c r="D224" i="20" s="1"/>
  <c r="F225" i="22" s="1"/>
  <c r="E225" i="22" s="1"/>
  <c r="R225" i="20"/>
  <c r="D222" i="20"/>
  <c r="Q226" i="21"/>
  <c r="D225" i="21"/>
  <c r="H226" i="22" s="1"/>
  <c r="N238" i="21"/>
  <c r="N239" i="21" s="1"/>
  <c r="O239" i="21" s="1"/>
  <c r="D223" i="21"/>
  <c r="H224" i="22" s="1"/>
  <c r="H223" i="22"/>
  <c r="D179" i="20"/>
  <c r="F180" i="22" s="1"/>
  <c r="E180" i="22" s="1"/>
  <c r="F179" i="22"/>
  <c r="E179" i="22" s="1"/>
  <c r="G212" i="22"/>
  <c r="G213" i="22"/>
  <c r="Q239" i="5"/>
  <c r="R239" i="5" s="1"/>
  <c r="D249" i="5"/>
  <c r="D250" i="22" s="1"/>
  <c r="E250" i="22" s="1"/>
  <c r="S228" i="5"/>
  <c r="D227" i="5"/>
  <c r="D228" i="22" s="1"/>
  <c r="Q229" i="21"/>
  <c r="D229" i="21" s="1"/>
  <c r="D237" i="21"/>
  <c r="H238" i="22" s="1"/>
  <c r="G179" i="22" l="1"/>
  <c r="Q239" i="20"/>
  <c r="D247" i="21"/>
  <c r="H248" i="22" s="1"/>
  <c r="H230" i="22"/>
  <c r="S239" i="5"/>
  <c r="R226" i="20"/>
  <c r="D225" i="20"/>
  <c r="F226" i="22" s="1"/>
  <c r="E226" i="22" s="1"/>
  <c r="G224" i="22"/>
  <c r="S238" i="5"/>
  <c r="D228" i="5"/>
  <c r="D229" i="22" s="1"/>
  <c r="P239" i="21"/>
  <c r="D223" i="20"/>
  <c r="F224" i="22" s="1"/>
  <c r="E224" i="22" s="1"/>
  <c r="F223" i="22"/>
  <c r="E223" i="22" s="1"/>
  <c r="R229" i="20"/>
  <c r="D229" i="20" s="1"/>
  <c r="D237" i="20"/>
  <c r="F238" i="22" s="1"/>
  <c r="E238" i="22" s="1"/>
  <c r="G180" i="22"/>
  <c r="Q227" i="21"/>
  <c r="D226" i="21"/>
  <c r="H227" i="22" s="1"/>
  <c r="G225" i="22"/>
  <c r="D247" i="20" l="1"/>
  <c r="F248" i="22" s="1"/>
  <c r="E248" i="22" s="1"/>
  <c r="F230" i="22"/>
  <c r="E230" i="22" s="1"/>
  <c r="G223" i="22"/>
  <c r="R227" i="20"/>
  <c r="D226" i="20"/>
  <c r="F227" i="22" s="1"/>
  <c r="E227" i="22" s="1"/>
  <c r="G230" i="22"/>
  <c r="Q228" i="21"/>
  <c r="D227" i="21"/>
  <c r="H228" i="22" s="1"/>
  <c r="G238" i="22"/>
  <c r="G226" i="22"/>
  <c r="D244" i="5"/>
  <c r="D245" i="22" s="1"/>
  <c r="D243" i="5"/>
  <c r="D244" i="22" s="1"/>
  <c r="D238" i="5"/>
  <c r="D239" i="22" s="1"/>
  <c r="D242" i="5"/>
  <c r="D243" i="22" s="1"/>
  <c r="D241" i="5"/>
  <c r="D242" i="22" s="1"/>
  <c r="D246" i="5"/>
  <c r="D247" i="22" s="1"/>
  <c r="G248" i="22"/>
  <c r="G227" i="22" l="1"/>
  <c r="D227" i="20"/>
  <c r="F228" i="22" s="1"/>
  <c r="E228" i="22" s="1"/>
  <c r="R228" i="20"/>
  <c r="G228" i="22"/>
  <c r="Q238" i="21"/>
  <c r="D228" i="21"/>
  <c r="H229" i="22" s="1"/>
  <c r="D241" i="21" l="1"/>
  <c r="H242" i="22" s="1"/>
  <c r="D244" i="21"/>
  <c r="H245" i="22" s="1"/>
  <c r="D238" i="21"/>
  <c r="H239" i="22" s="1"/>
  <c r="D243" i="21"/>
  <c r="H244" i="22" s="1"/>
  <c r="D246" i="21"/>
  <c r="H247" i="22" s="1"/>
  <c r="D242" i="21"/>
  <c r="H243" i="22" s="1"/>
  <c r="Q239" i="21"/>
  <c r="R238" i="20"/>
  <c r="D228" i="20"/>
  <c r="F229" i="22" s="1"/>
  <c r="E229" i="22" s="1"/>
  <c r="D244" i="20" l="1"/>
  <c r="F245" i="22" s="1"/>
  <c r="E245" i="22" s="1"/>
  <c r="D243" i="20"/>
  <c r="F244" i="22" s="1"/>
  <c r="E244" i="22" s="1"/>
  <c r="D241" i="20"/>
  <c r="F242" i="22" s="1"/>
  <c r="E242" i="22" s="1"/>
  <c r="D246" i="20"/>
  <c r="F247" i="22" s="1"/>
  <c r="E247" i="22" s="1"/>
  <c r="D238" i="20"/>
  <c r="F239" i="22" s="1"/>
  <c r="E239" i="22" s="1"/>
  <c r="R239" i="20"/>
  <c r="D242" i="20"/>
  <c r="F243" i="22" s="1"/>
  <c r="E243" i="22" s="1"/>
  <c r="G229" i="22"/>
  <c r="G242" i="22" l="1"/>
  <c r="G239" i="22"/>
  <c r="G244" i="22"/>
  <c r="G247" i="22"/>
  <c r="G245" i="22"/>
  <c r="G243" i="22"/>
</calcChain>
</file>

<file path=xl/comments1.xml><?xml version="1.0" encoding="utf-8"?>
<comments xmlns="http://schemas.openxmlformats.org/spreadsheetml/2006/main">
  <authors>
    <author>User</author>
  </authors>
  <commentList>
    <comment ref="E23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Учтена ОС
</t>
        </r>
      </text>
    </comment>
    <comment ref="E23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User возможно сидят в ОС на конец 2023 г
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E23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User возможно сидят в ОС на конец 2023 г
</t>
        </r>
      </text>
    </comment>
  </commentList>
</comments>
</file>

<file path=xl/comments3.xml><?xml version="1.0" encoding="utf-8"?>
<comments xmlns="http://schemas.openxmlformats.org/spreadsheetml/2006/main">
  <authors>
    <author>User</author>
  </authors>
  <commentList>
    <comment ref="E23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User возможно сидят в ОС на конец 2023 г
</t>
        </r>
      </text>
    </comment>
  </commentList>
</comments>
</file>

<file path=xl/comments4.xml><?xml version="1.0" encoding="utf-8"?>
<comments xmlns="http://schemas.openxmlformats.org/spreadsheetml/2006/main">
  <authors>
    <author>Автор</author>
  </authors>
  <commentList>
    <comment ref="D4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цена от Федоровой
от заказчика:
32 млн.-36 млн.</t>
        </r>
      </text>
    </comment>
  </commentList>
</comments>
</file>

<file path=xl/sharedStrings.xml><?xml version="1.0" encoding="utf-8"?>
<sst xmlns="http://schemas.openxmlformats.org/spreadsheetml/2006/main" count="2624" uniqueCount="548">
  <si>
    <t>Показатели</t>
  </si>
  <si>
    <t>Ед. изм.</t>
  </si>
  <si>
    <t>%</t>
  </si>
  <si>
    <t>$/т</t>
  </si>
  <si>
    <t>Административно-управленческие расходы</t>
  </si>
  <si>
    <t>Капитальные затраты на ОГР</t>
  </si>
  <si>
    <t>тыс. $</t>
  </si>
  <si>
    <t>Горная часть</t>
  </si>
  <si>
    <t>Переработка</t>
  </si>
  <si>
    <t>Экономическая часть</t>
  </si>
  <si>
    <t>Коэффициент потерь**</t>
  </si>
  <si>
    <t>Коэффициент разубоживания**</t>
  </si>
  <si>
    <t>Данные по извлечению:</t>
  </si>
  <si>
    <t>Медный концентрат</t>
  </si>
  <si>
    <t>Выход концентрата</t>
  </si>
  <si>
    <t>Извлечение меди</t>
  </si>
  <si>
    <t>Извлечение золота</t>
  </si>
  <si>
    <t>Извлечение серебра</t>
  </si>
  <si>
    <t>Цинковый концентрат</t>
  </si>
  <si>
    <t>Извлечение цинка</t>
  </si>
  <si>
    <t>Свинцовый концентрат</t>
  </si>
  <si>
    <t>Извлечение свинца</t>
  </si>
  <si>
    <t>Обогащение</t>
  </si>
  <si>
    <t>Металлургический передел</t>
  </si>
  <si>
    <t>Перечень базовых исходных данных для экономической оценки месторождения:</t>
  </si>
  <si>
    <t>Катодная медь</t>
  </si>
  <si>
    <t>Золото аффинированое</t>
  </si>
  <si>
    <t>Серебро аффинированое</t>
  </si>
  <si>
    <t>Цена реализации</t>
  </si>
  <si>
    <t>Цинк в цинковом концентрате</t>
  </si>
  <si>
    <t>Свинец в свинцовом концентрате</t>
  </si>
  <si>
    <t>Стоимость готовой продукции</t>
  </si>
  <si>
    <t>Эксплуатационные затраты на добычу руды</t>
  </si>
  <si>
    <t>В том числе:</t>
  </si>
  <si>
    <t>Затраты на ГПР</t>
  </si>
  <si>
    <r>
      <t>$/м</t>
    </r>
    <r>
      <rPr>
        <vertAlign val="superscript"/>
        <sz val="11"/>
        <color rgb="FF000000"/>
        <rFont val="Arial"/>
        <family val="2"/>
        <charset val="204"/>
      </rPr>
      <t>3</t>
    </r>
  </si>
  <si>
    <t>Затраты на очистные работы</t>
  </si>
  <si>
    <t>Эксплоразведочное бурение</t>
  </si>
  <si>
    <t>Общешахтные расходы</t>
  </si>
  <si>
    <t>$/п.м.</t>
  </si>
  <si>
    <t>Затраты на переработку и реализацию</t>
  </si>
  <si>
    <t>Переработка руды на ОФ</t>
  </si>
  <si>
    <t>Переработка с получением медного концентрата</t>
  </si>
  <si>
    <t>Переработка с получением цинкового концентрата</t>
  </si>
  <si>
    <t>Переработка с получением свинцового концентрата</t>
  </si>
  <si>
    <t>$/т. руды</t>
  </si>
  <si>
    <t>$/т. концентрата</t>
  </si>
  <si>
    <t>Перевозка медного концентрата до БМЗ</t>
  </si>
  <si>
    <t>Переработка медного концентрата</t>
  </si>
  <si>
    <t>Рафинирование RC (катодной меди)</t>
  </si>
  <si>
    <t>$/т. металла</t>
  </si>
  <si>
    <t>аффинаж золота RC-Au</t>
  </si>
  <si>
    <t>аффинаж серебра RC-Ag</t>
  </si>
  <si>
    <t>$/г</t>
  </si>
  <si>
    <t>Расходы по реализации</t>
  </si>
  <si>
    <t>расходы на реализацию меди</t>
  </si>
  <si>
    <t>расходы на реализацию (цинковый концентрат)</t>
  </si>
  <si>
    <t>расходы на реализацию (золото)</t>
  </si>
  <si>
    <t>расходы на реализацию (серебро)</t>
  </si>
  <si>
    <t>ГКР</t>
  </si>
  <si>
    <t>Оборотные средства</t>
  </si>
  <si>
    <t>Макропоказатели</t>
  </si>
  <si>
    <t>Курс доллара</t>
  </si>
  <si>
    <t>Тенге/USD</t>
  </si>
  <si>
    <t>Инфляция доллара</t>
  </si>
  <si>
    <t>Инфляция тенге</t>
  </si>
  <si>
    <t>МРП в 2024</t>
  </si>
  <si>
    <t>тенге</t>
  </si>
  <si>
    <t>1 унция</t>
  </si>
  <si>
    <t>гр</t>
  </si>
  <si>
    <t>1 фунт</t>
  </si>
  <si>
    <t>кг</t>
  </si>
  <si>
    <t>Отчисления в ликвидационный фонд</t>
  </si>
  <si>
    <t>от затрат на добычу</t>
  </si>
  <si>
    <t>Отчисления на финансирование подготовки и переподготовки граждан РК</t>
  </si>
  <si>
    <t>Отчисления в НИОКР</t>
  </si>
  <si>
    <t>процент от совокупного годового дохода по итогам предыдущего года</t>
  </si>
  <si>
    <t xml:space="preserve">Отчисления недропользователей на социально-экономическое развитие региона и развитие его инфраструктуры </t>
  </si>
  <si>
    <t xml:space="preserve">ежегодно тыс. тенге </t>
  </si>
  <si>
    <t>Контрактные условия</t>
  </si>
  <si>
    <t>Плата за пользование земельными участками</t>
  </si>
  <si>
    <t>Налог на землю</t>
  </si>
  <si>
    <t>Налог на транспортные средства</t>
  </si>
  <si>
    <t>Налог на имущество</t>
  </si>
  <si>
    <t>Плата за исп. радиочастотного спектра</t>
  </si>
  <si>
    <t>Плата за пользование водными ресурсами</t>
  </si>
  <si>
    <t xml:space="preserve">Плата за загрязнение окружающей среды по факту </t>
  </si>
  <si>
    <t>Для расчет эмиссии в окружающую среду:</t>
  </si>
  <si>
    <t xml:space="preserve"> -ставка за размещение вскрыши</t>
  </si>
  <si>
    <t xml:space="preserve"> -ставка за вмещающих пород</t>
  </si>
  <si>
    <t xml:space="preserve"> -ставка за размещение отходов обогащения</t>
  </si>
  <si>
    <t>МРП</t>
  </si>
  <si>
    <t>Ставка для расчета Налога на добычу полезных ископаемых</t>
  </si>
  <si>
    <t>золото</t>
  </si>
  <si>
    <t>серебро</t>
  </si>
  <si>
    <t>медь</t>
  </si>
  <si>
    <t>цинк</t>
  </si>
  <si>
    <t>свинец</t>
  </si>
  <si>
    <t>Базовые значения для различных вариантов</t>
  </si>
  <si>
    <t>Борт 1</t>
  </si>
  <si>
    <t>Борт 2</t>
  </si>
  <si>
    <t>Борт 3</t>
  </si>
  <si>
    <t>Потери</t>
  </si>
  <si>
    <t>Разубож</t>
  </si>
  <si>
    <t>Кам</t>
  </si>
  <si>
    <t>Талов</t>
  </si>
  <si>
    <t>Осн</t>
  </si>
  <si>
    <t>Промеж</t>
  </si>
  <si>
    <t>Восточ</t>
  </si>
  <si>
    <t>Юго-Вост</t>
  </si>
  <si>
    <t>Запад</t>
  </si>
  <si>
    <t>Центр</t>
  </si>
  <si>
    <t>Итого</t>
  </si>
  <si>
    <t>$/кг</t>
  </si>
  <si>
    <t>$кг</t>
  </si>
  <si>
    <t>$/тн</t>
  </si>
  <si>
    <t>$/тр.унц</t>
  </si>
  <si>
    <t>Наименование</t>
  </si>
  <si>
    <t xml:space="preserve"> продуктов</t>
  </si>
  <si>
    <t>Выход</t>
  </si>
  <si>
    <t>Содержание, %, г/т</t>
  </si>
  <si>
    <t>Извлечение от руды, %, г/т</t>
  </si>
  <si>
    <t>Cu</t>
  </si>
  <si>
    <t>Pb</t>
  </si>
  <si>
    <t>Zn</t>
  </si>
  <si>
    <t>Au</t>
  </si>
  <si>
    <t>Ag</t>
  </si>
  <si>
    <t>Cu концентрат</t>
  </si>
  <si>
    <t>Pb концентрат</t>
  </si>
  <si>
    <t>Zn концентрат</t>
  </si>
  <si>
    <t>Отвальные хвосты</t>
  </si>
  <si>
    <t>Руда</t>
  </si>
  <si>
    <t xml:space="preserve">Потери </t>
  </si>
  <si>
    <t>Разубоживание</t>
  </si>
  <si>
    <t>В том числе по залежам</t>
  </si>
  <si>
    <t>Извлечение цинка*</t>
  </si>
  <si>
    <t>Извлечение свинца*</t>
  </si>
  <si>
    <t>Извлечение меди*</t>
  </si>
  <si>
    <t xml:space="preserve">Транспортировка </t>
  </si>
  <si>
    <t>Затраты на закладочные работы</t>
  </si>
  <si>
    <t>от забоя до рудного склада</t>
  </si>
  <si>
    <t>от рудного склада до ОФ</t>
  </si>
  <si>
    <t>Переработка руды на ОФ до концентрата</t>
  </si>
  <si>
    <t>расходы на реализацию (Свинцовый концентрат)</t>
  </si>
  <si>
    <t xml:space="preserve">Реинвестиции на обновление  оборудования </t>
  </si>
  <si>
    <t>Затраты на проходку горно-капитальных выработок</t>
  </si>
  <si>
    <t>В том числе</t>
  </si>
  <si>
    <t>Вертикальные</t>
  </si>
  <si>
    <t>Стволы</t>
  </si>
  <si>
    <t>Вентиляционные восстающие</t>
  </si>
  <si>
    <t>Рудо- породоспуски</t>
  </si>
  <si>
    <t>Горизонтальные и наклонные выработки</t>
  </si>
  <si>
    <t>Конвеерный уклон</t>
  </si>
  <si>
    <t>Автоуклон</t>
  </si>
  <si>
    <t>Откаточные штреки</t>
  </si>
  <si>
    <t>Основные квершлаги и штреки</t>
  </si>
  <si>
    <t>Камерные выработки</t>
  </si>
  <si>
    <t>с креплением</t>
  </si>
  <si>
    <t>без крепления</t>
  </si>
  <si>
    <r>
      <t>$/м</t>
    </r>
    <r>
      <rPr>
        <i/>
        <vertAlign val="superscript"/>
        <sz val="11"/>
        <color rgb="FF000000"/>
        <rFont val="Arial"/>
        <family val="2"/>
        <charset val="204"/>
      </rPr>
      <t>3</t>
    </r>
  </si>
  <si>
    <t>ГРР, проектные и изыскательские работы</t>
  </si>
  <si>
    <r>
      <t>Эксплуатационные затраты</t>
    </r>
    <r>
      <rPr>
        <b/>
        <sz val="11"/>
        <color rgb="FF000000"/>
        <rFont val="Arial"/>
        <family val="2"/>
        <charset val="204"/>
      </rPr>
      <t> </t>
    </r>
  </si>
  <si>
    <t xml:space="preserve">тыс. тенге </t>
  </si>
  <si>
    <t>Плата за возмещ потерь с\х угодий</t>
  </si>
  <si>
    <t>Золото в свинцовом концентрате</t>
  </si>
  <si>
    <t>Серебро в свинцовом концентрате</t>
  </si>
  <si>
    <t>Залежи</t>
  </si>
  <si>
    <t>ИД согласованы</t>
  </si>
  <si>
    <t>не согласовано, необходимо откорректировать либо предоставить подтверждение</t>
  </si>
  <si>
    <t>в ИД внесены корректировки</t>
  </si>
  <si>
    <t>$/Кг</t>
  </si>
  <si>
    <t>Эксплуатационные запасы</t>
  </si>
  <si>
    <t>ПГР</t>
  </si>
  <si>
    <t>Геологические запасы</t>
  </si>
  <si>
    <t>Металл</t>
  </si>
  <si>
    <t>Метал</t>
  </si>
  <si>
    <r>
      <t>Объем, м</t>
    </r>
    <r>
      <rPr>
        <b/>
        <vertAlign val="superscript"/>
        <sz val="11"/>
        <color theme="1"/>
        <rFont val="Times New Roman"/>
        <family val="1"/>
        <charset val="204"/>
      </rPr>
      <t>3</t>
    </r>
  </si>
  <si>
    <t>Масса, т</t>
  </si>
  <si>
    <r>
      <t>Об. вес, т/м</t>
    </r>
    <r>
      <rPr>
        <b/>
        <vertAlign val="superscript"/>
        <sz val="11"/>
        <color theme="1"/>
        <rFont val="Times New Roman"/>
        <family val="1"/>
        <charset val="204"/>
      </rPr>
      <t>3</t>
    </r>
  </si>
  <si>
    <t>Cu,%</t>
  </si>
  <si>
    <t>Zn,%</t>
  </si>
  <si>
    <t>Pb,%</t>
  </si>
  <si>
    <t>Au, г/т/кг</t>
  </si>
  <si>
    <t>Ag, г/т/кг</t>
  </si>
  <si>
    <t>Потери, %</t>
  </si>
  <si>
    <t>Разубоживание, %</t>
  </si>
  <si>
    <t>Всего руды</t>
  </si>
  <si>
    <t xml:space="preserve">Cu, %/т </t>
  </si>
  <si>
    <t>Au, г/т</t>
  </si>
  <si>
    <t>Бортовое содержание 0,9</t>
  </si>
  <si>
    <t>Итого по бортовому содержанию 0,9</t>
  </si>
  <si>
    <t xml:space="preserve"> </t>
  </si>
  <si>
    <t>Бортовое содержание 1,2</t>
  </si>
  <si>
    <t>Итого по бортовому содержанию 1,2</t>
  </si>
  <si>
    <t>Бортовое содержание 1,5</t>
  </si>
  <si>
    <t>Итого по бортовому содержанию 1,5</t>
  </si>
  <si>
    <t>Итого по месторождению</t>
  </si>
  <si>
    <t>Расчёт эксплуатационных запасов</t>
  </si>
  <si>
    <t>Тип</t>
  </si>
  <si>
    <t>Руда, тыс.т</t>
  </si>
  <si>
    <t>Содержание</t>
  </si>
  <si>
    <t>Запасы металлов</t>
  </si>
  <si>
    <t>Разуб.</t>
  </si>
  <si>
    <t>Cu, %</t>
  </si>
  <si>
    <t>Pb, %</t>
  </si>
  <si>
    <t>Ag, г/т</t>
  </si>
  <si>
    <t>Cu, тонн</t>
  </si>
  <si>
    <t>Pb, тонн</t>
  </si>
  <si>
    <t>Zn, тонн</t>
  </si>
  <si>
    <t>Au, кг</t>
  </si>
  <si>
    <t>Ag, кг</t>
  </si>
  <si>
    <t>Извлекаемые запасы</t>
  </si>
  <si>
    <t>ПРИЛОЖЕНИЕ ___ Таблица __</t>
  </si>
  <si>
    <t>Ед.изм.</t>
  </si>
  <si>
    <t>Всего</t>
  </si>
  <si>
    <t>в том числе по годам</t>
  </si>
  <si>
    <t xml:space="preserve">Минеральные ресурсы </t>
  </si>
  <si>
    <t>тыс.т.</t>
  </si>
  <si>
    <t>Содержание металла</t>
  </si>
  <si>
    <t>- медь</t>
  </si>
  <si>
    <t>- цинк</t>
  </si>
  <si>
    <t>- свинец</t>
  </si>
  <si>
    <t>- золото</t>
  </si>
  <si>
    <t>г/т</t>
  </si>
  <si>
    <t>- серебро</t>
  </si>
  <si>
    <t>Количество металла</t>
  </si>
  <si>
    <t>т.</t>
  </si>
  <si>
    <t>кг.</t>
  </si>
  <si>
    <t>Эксплуатационная руда</t>
  </si>
  <si>
    <t>тыс. т</t>
  </si>
  <si>
    <t>Содержание в эксплуатационных запасах:</t>
  </si>
  <si>
    <t>тонн</t>
  </si>
  <si>
    <t>ПЕРЕРАБОТКА</t>
  </si>
  <si>
    <t>Годовой объем  руды, поступающей на ОФ</t>
  </si>
  <si>
    <t>Выход концентратов:</t>
  </si>
  <si>
    <t xml:space="preserve">  -медного</t>
  </si>
  <si>
    <t xml:space="preserve">  -цинкового</t>
  </si>
  <si>
    <t>Количество концентратов:</t>
  </si>
  <si>
    <t>Извлечение металлов из руды в концентраты:</t>
  </si>
  <si>
    <t>- в медный:</t>
  </si>
  <si>
    <t>- в цинковый:</t>
  </si>
  <si>
    <t>Количество металлов в концентратах:</t>
  </si>
  <si>
    <t>- в медном:</t>
  </si>
  <si>
    <t>- в цинковом:</t>
  </si>
  <si>
    <t>Содержание металлов в концентратах:</t>
  </si>
  <si>
    <t>Извлечение при металлургии:</t>
  </si>
  <si>
    <t>- меди катодной</t>
  </si>
  <si>
    <t>- золота аффинированного</t>
  </si>
  <si>
    <t>- серебра аффинированного</t>
  </si>
  <si>
    <t>Объем товарной продукции:</t>
  </si>
  <si>
    <t>- медь катодная</t>
  </si>
  <si>
    <t>- цинк в цинковом концентрате</t>
  </si>
  <si>
    <t>- золото аффинированное</t>
  </si>
  <si>
    <t>- серебро аффинированное</t>
  </si>
  <si>
    <t>ГОРНО-ТЕХНИЧЕСКАЯ ЧАСТЬ</t>
  </si>
  <si>
    <t>Объемы горных работ ВСЕГО:</t>
  </si>
  <si>
    <t>- ГКР</t>
  </si>
  <si>
    <t>- очистная работы</t>
  </si>
  <si>
    <t>тыс. тонн</t>
  </si>
  <si>
    <t>- ГПР+ГНР</t>
  </si>
  <si>
    <t>п.м.</t>
  </si>
  <si>
    <t>Разведочное бурение</t>
  </si>
  <si>
    <t>в том числе по рудным залежам:</t>
  </si>
  <si>
    <t>РАСЧЕТ ДОХОДА ОТ РЕАЛИЗАЦИИ ТОВАРНОГО ПРОДУКТА</t>
  </si>
  <si>
    <t>Цены реализации товарного продукта</t>
  </si>
  <si>
    <t>$/тр.унц.</t>
  </si>
  <si>
    <t>Стоимость товарной продукции:</t>
  </si>
  <si>
    <t>Удельный вес:</t>
  </si>
  <si>
    <t>Доход от реализации продукции в пересчете на 1 т катодной меди</t>
  </si>
  <si>
    <t>$</t>
  </si>
  <si>
    <t>ПРОИЗВОДСТВЕННЫЕ РАСХОДЫ</t>
  </si>
  <si>
    <t>тыс.$</t>
  </si>
  <si>
    <t>в том числе:</t>
  </si>
  <si>
    <t xml:space="preserve"> -затраты на ГПР </t>
  </si>
  <si>
    <t xml:space="preserve"> -затраты на очистные работы</t>
  </si>
  <si>
    <t xml:space="preserve">$/т </t>
  </si>
  <si>
    <t xml:space="preserve"> -транспортировка (шахта -НОФ)</t>
  </si>
  <si>
    <t xml:space="preserve"> -общешахтные расходы</t>
  </si>
  <si>
    <t xml:space="preserve">Затрат на переработку и реализацию </t>
  </si>
  <si>
    <t>Переработка руды на ОФ:</t>
  </si>
  <si>
    <t xml:space="preserve"> -  переработка руды с получением медного концентрата</t>
  </si>
  <si>
    <t xml:space="preserve"> - переработка руды с получением цинкового концентрата</t>
  </si>
  <si>
    <t>Затраты металлургического передела (переработка на БМЗ)</t>
  </si>
  <si>
    <t xml:space="preserve"> -  перевозка медного концентрата (ЖД перевозка)</t>
  </si>
  <si>
    <t>$/т  конц</t>
  </si>
  <si>
    <t xml:space="preserve"> -  переработка медного концентрата</t>
  </si>
  <si>
    <t xml:space="preserve"> - рафинирование RC (катодной меди)</t>
  </si>
  <si>
    <t>$/кг меди</t>
  </si>
  <si>
    <t xml:space="preserve"> - рафинирование золота RC-Au</t>
  </si>
  <si>
    <t xml:space="preserve"> - афинирование серебра RC-Ag</t>
  </si>
  <si>
    <t>Расходы по реализации:</t>
  </si>
  <si>
    <t xml:space="preserve"> - расходы на реализацию (медь)</t>
  </si>
  <si>
    <t xml:space="preserve"> - расходы на реализацию (цинковый концентрат)</t>
  </si>
  <si>
    <t xml:space="preserve"> - расходы на реализацию (золото)</t>
  </si>
  <si>
    <t xml:space="preserve"> - расходы на реализацию (серебро)</t>
  </si>
  <si>
    <t>Административные расходы</t>
  </si>
  <si>
    <t>Налоги и отчисления</t>
  </si>
  <si>
    <t>Отчисления НДПИ:</t>
  </si>
  <si>
    <t>Погашаемые запасы металлов</t>
  </si>
  <si>
    <t>ставки</t>
  </si>
  <si>
    <t>Плата за загрязнение окружающей среды</t>
  </si>
  <si>
    <t>Прочие налоги:</t>
  </si>
  <si>
    <t>налог на транспортные средства</t>
  </si>
  <si>
    <t>налог на имущество</t>
  </si>
  <si>
    <t xml:space="preserve">налог на землю </t>
  </si>
  <si>
    <t>Обязательства недропользователя по контрактной деятельности</t>
  </si>
  <si>
    <t>Расходы на социальную сферу региона</t>
  </si>
  <si>
    <t>Расходы на подготовку и переподготовку кадров</t>
  </si>
  <si>
    <t>Расходы на формирование ликвидационного фонда</t>
  </si>
  <si>
    <t>Расходы на НИОКР</t>
  </si>
  <si>
    <t>Амортизация отчисления</t>
  </si>
  <si>
    <t xml:space="preserve">Амортизация остаточная </t>
  </si>
  <si>
    <t>Амортизация добавочная (ГКР+ГРР)</t>
  </si>
  <si>
    <t>Амортизация добавочная (приобрет активов)</t>
  </si>
  <si>
    <t>Всего операционные расходы</t>
  </si>
  <si>
    <t>Операционные затраты на 1 тонну руды</t>
  </si>
  <si>
    <t>EBITDA-операционная прибыль до выплаты процентов, корпоративного налога и амортизации</t>
  </si>
  <si>
    <t>Прибыль (убыток)</t>
  </si>
  <si>
    <t>Налогооблагаемая прибыль с учетом переходящего убытка предыдущих лет</t>
  </si>
  <si>
    <t>Корпоративный подоходный налог</t>
  </si>
  <si>
    <t>Чистая прибыль (убыток)</t>
  </si>
  <si>
    <t>Всего инвестиционные затраты</t>
  </si>
  <si>
    <t>Капитальные затраты</t>
  </si>
  <si>
    <t>Капитальных затраты на 1 тонну руды</t>
  </si>
  <si>
    <t>Реинвестиции на обновление  оборудования</t>
  </si>
  <si>
    <t>Остаточная стоимость фиксированных активов на конец года (справочно)</t>
  </si>
  <si>
    <t>Свободный денежный поток (СДП)</t>
  </si>
  <si>
    <t>Суммарный свободный денежный поток (СДП)</t>
  </si>
  <si>
    <t>Чистая современная стоимость месторождения (NPV)</t>
  </si>
  <si>
    <t>при @=5%</t>
  </si>
  <si>
    <t>при @=10%</t>
  </si>
  <si>
    <t>при @=20%</t>
  </si>
  <si>
    <t>Внутренняя норма прибыли (IRR)</t>
  </si>
  <si>
    <t>Показатель</t>
  </si>
  <si>
    <t>Годы отработки</t>
  </si>
  <si>
    <t xml:space="preserve">Добыча руды </t>
  </si>
  <si>
    <t>тыс.т</t>
  </si>
  <si>
    <t>Содержание Cu</t>
  </si>
  <si>
    <t>Содержание Zn</t>
  </si>
  <si>
    <t>Содержание Pb</t>
  </si>
  <si>
    <t>Содержание Au</t>
  </si>
  <si>
    <t>Содержание Ag</t>
  </si>
  <si>
    <t>Количество металла Cu</t>
  </si>
  <si>
    <t>тыс.тонн</t>
  </si>
  <si>
    <t>Количество металла Zn</t>
  </si>
  <si>
    <t>Количество металла Pb</t>
  </si>
  <si>
    <t>Количество металла Au</t>
  </si>
  <si>
    <t>Количество металла Ag</t>
  </si>
  <si>
    <t>Горно-подготовительные работы</t>
  </si>
  <si>
    <t>тыс.м3</t>
  </si>
  <si>
    <t>Горно-капитальные работы</t>
  </si>
  <si>
    <t>Финансово-экономическая модель отработки минеральных ресурсов месторождения Артемьевское  подземным способом (БОРТ 0.9)</t>
  </si>
  <si>
    <t xml:space="preserve">  -свинцового</t>
  </si>
  <si>
    <t>- в свинцовый:</t>
  </si>
  <si>
    <t>- в свинцовом:</t>
  </si>
  <si>
    <t>Продолжение приложения Б</t>
  </si>
  <si>
    <r>
      <rPr>
        <sz val="12"/>
        <rFont val="Arial"/>
        <family val="2"/>
        <charset val="204"/>
      </rPr>
      <t xml:space="preserve">Таблица Б6 - </t>
    </r>
    <r>
      <rPr>
        <b/>
        <sz val="12"/>
        <rFont val="Arial"/>
        <family val="2"/>
        <charset val="204"/>
      </rPr>
      <t>Показатели извлечения на металлургическом переделе</t>
    </r>
  </si>
  <si>
    <t>Извлечение металлов на металлургическом переделе в готовую продукцию, в зависимости от содержания Ме в сырье</t>
  </si>
  <si>
    <t>Содержание в сырье,%:</t>
  </si>
  <si>
    <t>min</t>
  </si>
  <si>
    <t>max</t>
  </si>
  <si>
    <t>Извлечение, %</t>
  </si>
  <si>
    <t>Zос = (Y – 1,5%) / Y*100,                       где Y – факт сод меди, %</t>
  </si>
  <si>
    <t>и выше</t>
  </si>
  <si>
    <t>Содержание в сырье,г/т:</t>
  </si>
  <si>
    <t>Извлечение до Шламов Медеэлектр, %</t>
  </si>
  <si>
    <t>- свинец в свинцовом концентрате</t>
  </si>
  <si>
    <t>Прогнозные цены на металлы согласно допущениям по Группе (Group Project assumptions)</t>
  </si>
  <si>
    <t>2035 г.</t>
  </si>
  <si>
    <t>2036 г.</t>
  </si>
  <si>
    <t>2037 г.</t>
  </si>
  <si>
    <t>2038 г.</t>
  </si>
  <si>
    <t>2039 г.</t>
  </si>
  <si>
    <t>2040 г.</t>
  </si>
  <si>
    <t>Медь катодная</t>
  </si>
  <si>
    <t>Цинк</t>
  </si>
  <si>
    <t>Золото</t>
  </si>
  <si>
    <t>Серебро</t>
  </si>
  <si>
    <t>Свинец</t>
  </si>
  <si>
    <t>Цены на товарную продукцию для расчета доходов</t>
  </si>
  <si>
    <t>Золото в слитках</t>
  </si>
  <si>
    <t>$/гр</t>
  </si>
  <si>
    <t>Серебро в слитках</t>
  </si>
  <si>
    <t>$/тн Zn</t>
  </si>
  <si>
    <t>$/тн Pb</t>
  </si>
  <si>
    <t>Инфляция</t>
  </si>
  <si>
    <t>ед. изм</t>
  </si>
  <si>
    <t>INFLATION ASSUMPTIONS (nominal)</t>
  </si>
  <si>
    <t>United States</t>
  </si>
  <si>
    <t>Operations:</t>
  </si>
  <si>
    <t>East Region operations</t>
  </si>
  <si>
    <t>Capital expenditure</t>
  </si>
  <si>
    <t xml:space="preserve"> -затраты на закладочные работы</t>
  </si>
  <si>
    <t>-закладка выработанного пространства</t>
  </si>
  <si>
    <t xml:space="preserve"> -объемный вес руды</t>
  </si>
  <si>
    <t xml:space="preserve"> -объемный вес породы</t>
  </si>
  <si>
    <t xml:space="preserve"> - переработка руды с получением свинцового концентрата</t>
  </si>
  <si>
    <t xml:space="preserve"> - расходы на реализацию (свинцового концентрат)</t>
  </si>
  <si>
    <t>Курс доллара, тг</t>
  </si>
  <si>
    <t>мрп к курсу</t>
  </si>
  <si>
    <t>№ п/п</t>
  </si>
  <si>
    <t>курс</t>
  </si>
  <si>
    <t>$-тенге</t>
  </si>
  <si>
    <t xml:space="preserve"> -эксплоразведочное бурение</t>
  </si>
  <si>
    <t>группа 1. Здания и сооружения</t>
  </si>
  <si>
    <t>группа 2. Производственное оборудование</t>
  </si>
  <si>
    <t>группа 3. Компьютеры и оборудование для обработки информации</t>
  </si>
  <si>
    <t>группа 4. Фиксированные активы не включенные в другие группы</t>
  </si>
  <si>
    <t xml:space="preserve">ГКР </t>
  </si>
  <si>
    <t>Итого:</t>
  </si>
  <si>
    <t>Приложение __</t>
  </si>
  <si>
    <t xml:space="preserve">Расчет амортизационных отчислений </t>
  </si>
  <si>
    <t>Наименование показателей</t>
  </si>
  <si>
    <t>1. Рудник</t>
  </si>
  <si>
    <t>1. 1 Горно-капитальные работы:</t>
  </si>
  <si>
    <t>тыс.USD</t>
  </si>
  <si>
    <t xml:space="preserve">    стоимостной баланс на начало года</t>
  </si>
  <si>
    <t xml:space="preserve">    норма амортизации</t>
  </si>
  <si>
    <t xml:space="preserve">    сумма амортизации по группе</t>
  </si>
  <si>
    <t xml:space="preserve">    стоимостной баланс на конец года</t>
  </si>
  <si>
    <t>1.2 Здания и сооружения:</t>
  </si>
  <si>
    <t>1.4 Компьютеры и оборудование для обработки информации</t>
  </si>
  <si>
    <t>1.5 Фиксированные активы не включенные в другие группы</t>
  </si>
  <si>
    <t>1.6 Специальная группа</t>
  </si>
  <si>
    <t>1.6 Итого амортизационные отчисления рудника:</t>
  </si>
  <si>
    <t xml:space="preserve">    сумма стоимостной баланс на конец года</t>
  </si>
  <si>
    <t>Расчет среднегодовой балансовой стоимости зданий и сооружений  для расчета налога на имущество</t>
  </si>
  <si>
    <t>Стоимость имущества, облагаемого налогом на имущество</t>
  </si>
  <si>
    <t>Среднегодовая балансовая стоимость зданий и сооружений, облагаемая налогом на имущество</t>
  </si>
  <si>
    <t>ставка налога на имущество</t>
  </si>
  <si>
    <t xml:space="preserve">налог на имущество </t>
  </si>
  <si>
    <t>1.3  Производственные оборудования:</t>
  </si>
  <si>
    <t>ВАРИАНТЫ ТЭО</t>
  </si>
  <si>
    <t>Добыча</t>
  </si>
  <si>
    <t>норма амортизации</t>
  </si>
  <si>
    <t>ВАРИАНТ 1</t>
  </si>
  <si>
    <t>ВАРИАНТ 2</t>
  </si>
  <si>
    <t>ВАРИАНТ 3</t>
  </si>
  <si>
    <t xml:space="preserve">Горно-капитальные работы </t>
  </si>
  <si>
    <t xml:space="preserve"> Итого амортизационные отчисления рудника </t>
  </si>
  <si>
    <t>Продолжение приложения Г</t>
  </si>
  <si>
    <t>Таблица Г2  - Сумма затрат на замену дополнительного оборудования</t>
  </si>
  <si>
    <t>(2 очередь)</t>
  </si>
  <si>
    <t>Наименование оборудования</t>
  </si>
  <si>
    <t>Единица измерений</t>
  </si>
  <si>
    <t>Стоимость 1 ед. обору- дования</t>
  </si>
  <si>
    <t>Годы эксплуатации</t>
  </si>
  <si>
    <t>Итого сумма затрат</t>
  </si>
  <si>
    <t xml:space="preserve">Оборудование на подготовительно-очистные работы </t>
  </si>
  <si>
    <t>Перфоратор</t>
  </si>
  <si>
    <t>ПТ-48 (бурение вертикальных шпуров)</t>
  </si>
  <si>
    <t xml:space="preserve"> - расстановочное количество</t>
  </si>
  <si>
    <t>шт</t>
  </si>
  <si>
    <t xml:space="preserve"> - оборудование на замену</t>
  </si>
  <si>
    <t xml:space="preserve"> - сумма на замену</t>
  </si>
  <si>
    <t>тыс. тенге</t>
  </si>
  <si>
    <t>ПП-63 (бурение горизонтальных шпуров)</t>
  </si>
  <si>
    <t xml:space="preserve">Вентилятор местного проветривания </t>
  </si>
  <si>
    <t>ESN9-750, ESN 9-450, ВМ-12, TLT</t>
  </si>
  <si>
    <t>Вентилятор местного проветривания</t>
  </si>
  <si>
    <t>ВМ-8</t>
  </si>
  <si>
    <t>ВМ-6</t>
  </si>
  <si>
    <t xml:space="preserve">Анкероустановщик </t>
  </si>
  <si>
    <t>Sandvik DS310</t>
  </si>
  <si>
    <t xml:space="preserve">Бутобой </t>
  </si>
  <si>
    <t>BTI</t>
  </si>
  <si>
    <t>Стационарное оборудование</t>
  </si>
  <si>
    <t xml:space="preserve">Насос </t>
  </si>
  <si>
    <t>ЦНСША 300-378</t>
  </si>
  <si>
    <t>ЦНСША 300-210</t>
  </si>
  <si>
    <t>ЦНСА  180-170</t>
  </si>
  <si>
    <t>Бетонный насос</t>
  </si>
  <si>
    <t>Итого замена оборудования 2 очередь, тыс.тенге</t>
  </si>
  <si>
    <t>Итого тыс.$</t>
  </si>
  <si>
    <t>(1 очередь)</t>
  </si>
  <si>
    <t>Федорова ждет ответ заказчика</t>
  </si>
  <si>
    <t>Итого замена оборудования 1 очередь, тыс.тенге</t>
  </si>
  <si>
    <t>д. 380</t>
  </si>
  <si>
    <t>д. 461</t>
  </si>
  <si>
    <t xml:space="preserve">Вентилятор местного проветривания GAL 12-450/450
</t>
  </si>
  <si>
    <t>Отпускная цена - 33087053,57</t>
  </si>
  <si>
    <t>--</t>
  </si>
  <si>
    <t>коэф-т соотношения стоимости вентиляторов ВМ-12:ВМ-6</t>
  </si>
  <si>
    <t xml:space="preserve">Вентилятор местного проветривания ВМ-6
</t>
  </si>
  <si>
    <t>цены нет</t>
  </si>
  <si>
    <t xml:space="preserve">в смете  Установка главного проветривания /вентилятор-2 шт/
</t>
  </si>
  <si>
    <t>Отпускная цена - 702142,86</t>
  </si>
  <si>
    <t>коэф-т соотношения стоимости вентиляторов ВМ-12:ВМ-8</t>
  </si>
  <si>
    <t xml:space="preserve">Вентилятор местного проветривания ВМ-8
</t>
  </si>
  <si>
    <t>Отпускная цена - 1164279,46</t>
  </si>
  <si>
    <t>Сумма затрат на замену дополнительного оборудования</t>
  </si>
  <si>
    <t>Приобретение фиксированных активов</t>
  </si>
  <si>
    <t>Наименование работ и затрат</t>
  </si>
  <si>
    <t>Сметная стоимость, тыс. тенге</t>
  </si>
  <si>
    <t>Всего, тыс. тенге</t>
  </si>
  <si>
    <t>Всего, тыс. долл.</t>
  </si>
  <si>
    <t>строительно-монтажных работ</t>
  </si>
  <si>
    <t>оборудования, мебели, инвентаря</t>
  </si>
  <si>
    <t>прочих затрат</t>
  </si>
  <si>
    <t>Раздел I. Проектирование</t>
  </si>
  <si>
    <t>проектно-изыскательские работы (стадия план горных работ)</t>
  </si>
  <si>
    <t>проектно-изыскательские работы (стадия рабочая документация)</t>
  </si>
  <si>
    <t>проектные работы склада ТМЦ</t>
  </si>
  <si>
    <t>изыскательские работы склада ТМЦ</t>
  </si>
  <si>
    <t>проектно-изыскательские работы ГВУ</t>
  </si>
  <si>
    <t>стоимость работ по проведению комплексной вневедомственной экспертизы</t>
  </si>
  <si>
    <t>Итого по разделу I</t>
  </si>
  <si>
    <t>Раздел II. Сметная стоимость подрядных работ</t>
  </si>
  <si>
    <t>сметная стоимость строительства</t>
  </si>
  <si>
    <t>Итого по разделу II</t>
  </si>
  <si>
    <t>Раздел III. Инжиниринговые услуги</t>
  </si>
  <si>
    <t>затраты заказчика на инжиниринговые услуги по техническому надзору за строительством</t>
  </si>
  <si>
    <t>затраты заказчика на инжиниринговые услуги по авторскому надзору за строительством</t>
  </si>
  <si>
    <t>Итого по разделу III</t>
  </si>
  <si>
    <t xml:space="preserve">Итого по сводному сметному расчету </t>
  </si>
  <si>
    <t>реализовано</t>
  </si>
  <si>
    <t>Реализованно</t>
  </si>
  <si>
    <t>без НДС</t>
  </si>
  <si>
    <t>Обновление оборудования</t>
  </si>
  <si>
    <t>входит в ГКР или НЕТ</t>
  </si>
  <si>
    <t xml:space="preserve"> Инжиниринговые услуги</t>
  </si>
  <si>
    <t>Проектные и изыскательские работы</t>
  </si>
  <si>
    <t>ОС НОФ (тыс. тенге)</t>
  </si>
  <si>
    <t>ОС АШ (тыс. тенге)</t>
  </si>
  <si>
    <t>ОС НОФ (kUSD)</t>
  </si>
  <si>
    <t>ОС АШ (kUSD)</t>
  </si>
  <si>
    <t>Индекс доходности</t>
  </si>
  <si>
    <t>Обеспеченность запасами</t>
  </si>
  <si>
    <t>Срок окупаемости</t>
  </si>
  <si>
    <t>лет</t>
  </si>
  <si>
    <t>Финансово-экономическая модель отработки минеральных ресурсов месторождения Артемьевское  подземным способом (БОРТ 1.2)</t>
  </si>
  <si>
    <t>при @=15%</t>
  </si>
  <si>
    <t xml:space="preserve">Остаточная стоимость фиксированных активов на конец года </t>
  </si>
  <si>
    <t>Финансово-экономическая модель отработки минеральных ресурсов месторождения Артемьевское  подземным способом (БОРТ 1.5)</t>
  </si>
  <si>
    <t>Борт 0.9</t>
  </si>
  <si>
    <t>Борт 1.2</t>
  </si>
  <si>
    <t>Брорт 1.5</t>
  </si>
  <si>
    <t>Прирезка</t>
  </si>
  <si>
    <t>Средняя цены реализации товарного продукта за весь период</t>
  </si>
  <si>
    <t>Общий объем руды для переработки</t>
  </si>
  <si>
    <t>С учетом затугания</t>
  </si>
  <si>
    <t>Годовая производительность по добыче руды</t>
  </si>
  <si>
    <t>Годовой объем  руды, поступающей на ОФ (среднее значение)</t>
  </si>
  <si>
    <t>Количество металла в эксплуатационных запасах:</t>
  </si>
  <si>
    <r>
      <t>тыс. м</t>
    </r>
    <r>
      <rPr>
        <vertAlign val="superscript"/>
        <sz val="10"/>
        <rFont val="Times New Roman"/>
        <family val="1"/>
        <charset val="204"/>
      </rPr>
      <t xml:space="preserve">3 </t>
    </r>
  </si>
  <si>
    <r>
      <t>$/м</t>
    </r>
    <r>
      <rPr>
        <vertAlign val="superscript"/>
        <sz val="10"/>
        <rFont val="Times New Roman"/>
        <family val="1"/>
        <charset val="204"/>
      </rPr>
      <t>3</t>
    </r>
  </si>
  <si>
    <t xml:space="preserve">Основные ТЭП отработки минеральных ресурсов месторождения  подземным способом </t>
  </si>
  <si>
    <t xml:space="preserve">Затраты металлургического передела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</si>
</sst>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2">
    <numFmt numFmtId="43" formatCode="_-* #,##0.00\ _₽_-;\-* #,##0.00\ _₽_-;_-* &quot;-&quot;??\ _₽_-;_-@_-"/>
    <numFmt numFmtId="164" formatCode="_-* #,##0.00_-;\-* #,##0.00_-;_-* &quot;-&quot;??_-;_-@_-"/>
    <numFmt numFmtId="165" formatCode="[$-419]mmmm\ yyyy;@"/>
    <numFmt numFmtId="166" formatCode="0.0%"/>
    <numFmt numFmtId="167" formatCode="0.000"/>
    <numFmt numFmtId="168" formatCode="_-* #,##0.00_р_._-;\-* #,##0.00_р_._-;_-* &quot;-&quot;??_р_._-;_-@_-"/>
    <numFmt numFmtId="169" formatCode="0.0"/>
    <numFmt numFmtId="170" formatCode="#,##0.000"/>
    <numFmt numFmtId="171" formatCode="#,##0.0"/>
    <numFmt numFmtId="172" formatCode="#,##0.0\ ;\(#,##0.0\);\-&quot; &quot;"/>
    <numFmt numFmtId="173" formatCode="#,##0\ ;\(#,##0\);\-&quot; &quot;"/>
    <numFmt numFmtId="174" formatCode="_-* #,##0_р_._-;\-* #,##0_р_._-;_-* &quot;-&quot;??_р_._-;_-@_-"/>
    <numFmt numFmtId="175" formatCode="_-* #,##0.0_р_._-;\-* #,##0.0_р_._-;_-* &quot;-&quot;??_р_._-;_-@_-"/>
    <numFmt numFmtId="176" formatCode="_-[$€-2]* #&quot; &quot;##0.00_-;\-[$€-2]* #&quot; &quot;##0.00_-;_-[$€-2]* \-??_-"/>
    <numFmt numFmtId="177" formatCode="_-[$€-2]* #,##0.00_-;\-[$€-2]* #,##0.00_-;_-[$€-2]* \-??_-"/>
    <numFmt numFmtId="180" formatCode="#&quot; &quot;##0"/>
    <numFmt numFmtId="181" formatCode="#,##0.00_ ;[Red]\-#,##0.00\ "/>
    <numFmt numFmtId="182" formatCode="0_ ;[Red]\-0\ "/>
    <numFmt numFmtId="183" formatCode="0.0_ ;[Red]\-0.0\ "/>
    <numFmt numFmtId="184" formatCode="0.000000"/>
    <numFmt numFmtId="185" formatCode="#,##0.00_ ;\-#,##0.00\ "/>
    <numFmt numFmtId="186" formatCode="#,##0.0_ ;\-#,##0.0\ "/>
  </numFmts>
  <fonts count="80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b/>
      <i/>
      <sz val="11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i/>
      <sz val="11"/>
      <color rgb="FF000000"/>
      <name val="Arial"/>
      <family val="2"/>
      <charset val="204"/>
    </font>
    <font>
      <sz val="8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vertAlign val="superscript"/>
      <sz val="11"/>
      <color rgb="FF00000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</font>
    <font>
      <sz val="11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i/>
      <u/>
      <sz val="11"/>
      <color rgb="FF000000"/>
      <name val="Arial"/>
      <family val="2"/>
      <charset val="204"/>
    </font>
    <font>
      <u/>
      <sz val="11"/>
      <color rgb="FF000000"/>
      <name val="Arial"/>
      <family val="2"/>
      <charset val="204"/>
    </font>
    <font>
      <sz val="12"/>
      <name val="Times New Roman Cyr"/>
      <charset val="204"/>
    </font>
    <font>
      <i/>
      <vertAlign val="superscript"/>
      <sz val="11"/>
      <color rgb="FF000000"/>
      <name val="Arial"/>
      <family val="2"/>
      <charset val="204"/>
    </font>
    <font>
      <b/>
      <sz val="14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vertAlign val="superscript"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color theme="1"/>
      <name val="Times New Roman"/>
      <family val="2"/>
      <charset val="204"/>
    </font>
    <font>
      <b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Arial Cyr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12"/>
      <color theme="1"/>
      <name val="Arial"/>
      <family val="2"/>
      <charset val="204"/>
    </font>
    <font>
      <b/>
      <sz val="10"/>
      <color rgb="FF002060"/>
      <name val="Times New Roman"/>
      <family val="1"/>
      <charset val="204"/>
    </font>
    <font>
      <sz val="10"/>
      <color rgb="FF00206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rgb="FFC00000"/>
      <name val="Times New Roman"/>
      <family val="1"/>
      <charset val="204"/>
    </font>
    <font>
      <b/>
      <sz val="11"/>
      <color rgb="FF00206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indexed="8"/>
      <name val="Calibri"/>
      <family val="2"/>
    </font>
    <font>
      <sz val="10"/>
      <name val="Helv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indexed="8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u/>
      <sz val="11"/>
      <color indexed="8"/>
      <name val="Times New Roman"/>
      <family val="1"/>
      <charset val="204"/>
    </font>
    <font>
      <sz val="12"/>
      <color rgb="FF000099"/>
      <name val="Times New Roman"/>
      <family val="1"/>
      <charset val="204"/>
    </font>
    <font>
      <i/>
      <sz val="11"/>
      <color rgb="FF000099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rgb="FFC00000"/>
      <name val="Times New Roman"/>
      <family val="1"/>
      <charset val="204"/>
    </font>
    <font>
      <i/>
      <sz val="11"/>
      <color indexed="8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i/>
      <sz val="11"/>
      <color rgb="FFFF0000"/>
      <name val="Times New Roman"/>
      <family val="1"/>
      <charset val="204"/>
    </font>
    <font>
      <sz val="11"/>
      <name val="Calibri"/>
      <family val="2"/>
      <charset val="204"/>
      <scheme val="minor"/>
    </font>
    <font>
      <vertAlign val="superscript"/>
      <sz val="1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3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31"/>
      </top>
      <bottom/>
      <diagonal/>
    </border>
    <border>
      <left style="thin">
        <color indexed="64"/>
      </left>
      <right/>
      <top style="hair">
        <color indexed="3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31"/>
      </top>
      <bottom/>
      <diagonal/>
    </border>
    <border>
      <left style="thin">
        <color indexed="64"/>
      </left>
      <right/>
      <top style="hair">
        <color indexed="3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3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/>
    <xf numFmtId="0" fontId="13" fillId="0" borderId="0"/>
    <xf numFmtId="0" fontId="14" fillId="0" borderId="0">
      <alignment horizontal="left"/>
    </xf>
    <xf numFmtId="168" fontId="22" fillId="0" borderId="0" applyFont="0" applyFill="0" applyBorder="0" applyAlignment="0" applyProtection="0"/>
    <xf numFmtId="164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0" fontId="38" fillId="0" borderId="0"/>
    <xf numFmtId="0" fontId="32" fillId="0" borderId="0"/>
    <xf numFmtId="170" fontId="13" fillId="0" borderId="0"/>
    <xf numFmtId="0" fontId="32" fillId="0" borderId="0"/>
    <xf numFmtId="0" fontId="26" fillId="0" borderId="0"/>
    <xf numFmtId="168" fontId="44" fillId="0" borderId="0" applyFont="0" applyFill="0" applyBorder="0" applyAlignment="0" applyProtection="0"/>
    <xf numFmtId="0" fontId="44" fillId="0" borderId="0"/>
    <xf numFmtId="176" fontId="49" fillId="0" borderId="0"/>
    <xf numFmtId="0" fontId="44" fillId="0" borderId="0"/>
    <xf numFmtId="177" fontId="38" fillId="0" borderId="0"/>
    <xf numFmtId="0" fontId="38" fillId="0" borderId="0"/>
    <xf numFmtId="0" fontId="13" fillId="0" borderId="0"/>
    <xf numFmtId="0" fontId="26" fillId="0" borderId="0"/>
  </cellStyleXfs>
  <cellXfs count="742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/>
    </xf>
    <xf numFmtId="0" fontId="17" fillId="3" borderId="19" xfId="0" applyFont="1" applyFill="1" applyBorder="1" applyAlignment="1">
      <alignment horizontal="center" vertical="center"/>
    </xf>
    <xf numFmtId="0" fontId="18" fillId="3" borderId="19" xfId="0" applyFont="1" applyFill="1" applyBorder="1" applyAlignment="1">
      <alignment horizontal="center" vertical="center"/>
    </xf>
    <xf numFmtId="0" fontId="17" fillId="0" borderId="16" xfId="0" applyFont="1" applyBorder="1" applyAlignment="1">
      <alignment horizontal="left" vertical="top"/>
    </xf>
    <xf numFmtId="0" fontId="9" fillId="0" borderId="6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5" fontId="15" fillId="0" borderId="1" xfId="2" applyNumberFormat="1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0" fontId="25" fillId="0" borderId="1" xfId="0" applyFont="1" applyBorder="1"/>
    <xf numFmtId="2" fontId="25" fillId="0" borderId="1" xfId="0" applyNumberFormat="1" applyFont="1" applyBorder="1"/>
    <xf numFmtId="3" fontId="9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164" fontId="5" fillId="0" borderId="0" xfId="4" applyFont="1"/>
    <xf numFmtId="0" fontId="9" fillId="5" borderId="1" xfId="0" applyFont="1" applyFill="1" applyBorder="1" applyAlignment="1">
      <alignment horizontal="center" vertical="center" wrapText="1"/>
    </xf>
    <xf numFmtId="166" fontId="15" fillId="5" borderId="1" xfId="0" applyNumberFormat="1" applyFont="1" applyFill="1" applyBorder="1" applyAlignment="1">
      <alignment horizontal="center" vertical="center" wrapText="1"/>
    </xf>
    <xf numFmtId="9" fontId="15" fillId="5" borderId="1" xfId="0" applyNumberFormat="1" applyFont="1" applyFill="1" applyBorder="1" applyAlignment="1">
      <alignment horizontal="center" vertical="center" wrapText="1"/>
    </xf>
    <xf numFmtId="3" fontId="15" fillId="5" borderId="1" xfId="0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167" fontId="15" fillId="5" borderId="1" xfId="0" applyNumberFormat="1" applyFont="1" applyFill="1" applyBorder="1" applyAlignment="1">
      <alignment horizontal="center" vertical="center" wrapText="1"/>
    </xf>
    <xf numFmtId="2" fontId="15" fillId="5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6" fontId="5" fillId="0" borderId="0" xfId="5" applyNumberFormat="1" applyFont="1"/>
    <xf numFmtId="0" fontId="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4" fontId="15" fillId="4" borderId="1" xfId="2" applyNumberFormat="1" applyFont="1" applyFill="1" applyBorder="1" applyAlignment="1">
      <alignment horizontal="center" vertical="center" wrapText="1"/>
    </xf>
    <xf numFmtId="4" fontId="15" fillId="4" borderId="1" xfId="2" applyNumberFormat="1" applyFont="1" applyFill="1" applyBorder="1" applyAlignment="1">
      <alignment horizontal="center" vertical="center"/>
    </xf>
    <xf numFmtId="166" fontId="15" fillId="6" borderId="1" xfId="0" applyNumberFormat="1" applyFont="1" applyFill="1" applyBorder="1" applyAlignment="1">
      <alignment horizontal="center" vertical="center" wrapText="1"/>
    </xf>
    <xf numFmtId="166" fontId="15" fillId="5" borderId="1" xfId="0" applyNumberFormat="1" applyFont="1" applyFill="1" applyBorder="1" applyAlignment="1">
      <alignment horizontal="center" vertical="center"/>
    </xf>
    <xf numFmtId="9" fontId="15" fillId="5" borderId="1" xfId="0" applyNumberFormat="1" applyFont="1" applyFill="1" applyBorder="1" applyAlignment="1">
      <alignment horizontal="center" vertical="center"/>
    </xf>
    <xf numFmtId="3" fontId="15" fillId="5" borderId="1" xfId="0" applyNumberFormat="1" applyFont="1" applyFill="1" applyBorder="1" applyAlignment="1">
      <alignment horizontal="center" vertical="center"/>
    </xf>
    <xf numFmtId="10" fontId="5" fillId="4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/>
    <xf numFmtId="10" fontId="2" fillId="0" borderId="0" xfId="5" applyNumberFormat="1" applyFont="1"/>
    <xf numFmtId="0" fontId="27" fillId="0" borderId="0" xfId="0" applyFont="1" applyFill="1"/>
    <xf numFmtId="2" fontId="27" fillId="0" borderId="0" xfId="0" applyNumberFormat="1" applyFont="1" applyFill="1"/>
    <xf numFmtId="0" fontId="28" fillId="0" borderId="2" xfId="0" applyFont="1" applyBorder="1" applyAlignment="1">
      <alignment horizontal="center" vertical="top"/>
    </xf>
    <xf numFmtId="0" fontId="28" fillId="0" borderId="2" xfId="0" applyFont="1" applyBorder="1" applyAlignment="1">
      <alignment horizontal="center" vertical="center" wrapText="1"/>
    </xf>
    <xf numFmtId="0" fontId="28" fillId="0" borderId="30" xfId="0" applyFont="1" applyFill="1" applyBorder="1" applyAlignment="1">
      <alignment horizontal="center" vertical="center" wrapText="1"/>
    </xf>
    <xf numFmtId="0" fontId="28" fillId="0" borderId="31" xfId="0" applyFont="1" applyFill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33" xfId="0" applyFont="1" applyFill="1" applyBorder="1" applyAlignment="1">
      <alignment horizontal="center" vertical="center" wrapText="1"/>
    </xf>
    <xf numFmtId="49" fontId="27" fillId="0" borderId="34" xfId="0" applyNumberFormat="1" applyFont="1" applyBorder="1" applyAlignment="1">
      <alignment horizontal="center"/>
    </xf>
    <xf numFmtId="1" fontId="27" fillId="0" borderId="35" xfId="0" applyNumberFormat="1" applyFont="1" applyFill="1" applyBorder="1" applyAlignment="1">
      <alignment horizontal="center" wrapText="1"/>
    </xf>
    <xf numFmtId="0" fontId="27" fillId="0" borderId="35" xfId="0" applyFont="1" applyFill="1" applyBorder="1" applyAlignment="1">
      <alignment horizontal="center" wrapText="1"/>
    </xf>
    <xf numFmtId="2" fontId="27" fillId="0" borderId="35" xfId="0" applyNumberFormat="1" applyFont="1" applyFill="1" applyBorder="1" applyAlignment="1">
      <alignment horizontal="center" wrapText="1"/>
    </xf>
    <xf numFmtId="0" fontId="27" fillId="0" borderId="34" xfId="0" applyFont="1" applyFill="1" applyBorder="1" applyAlignment="1">
      <alignment horizontal="center" wrapText="1"/>
    </xf>
    <xf numFmtId="1" fontId="27" fillId="0" borderId="35" xfId="0" applyNumberFormat="1" applyFont="1" applyBorder="1" applyAlignment="1">
      <alignment horizontal="center" vertical="center"/>
    </xf>
    <xf numFmtId="2" fontId="27" fillId="0" borderId="35" xfId="0" applyNumberFormat="1" applyFont="1" applyBorder="1" applyAlignment="1">
      <alignment horizontal="center" vertical="center"/>
    </xf>
    <xf numFmtId="2" fontId="27" fillId="0" borderId="36" xfId="0" applyNumberFormat="1" applyFont="1" applyBorder="1" applyAlignment="1">
      <alignment horizontal="center" vertical="center"/>
    </xf>
    <xf numFmtId="2" fontId="27" fillId="0" borderId="37" xfId="0" applyNumberFormat="1" applyFont="1" applyBorder="1" applyAlignment="1">
      <alignment horizontal="center" vertical="center"/>
    </xf>
    <xf numFmtId="0" fontId="27" fillId="0" borderId="32" xfId="0" applyFont="1" applyBorder="1" applyAlignment="1">
      <alignment horizontal="center"/>
    </xf>
    <xf numFmtId="1" fontId="27" fillId="0" borderId="30" xfId="0" applyNumberFormat="1" applyFont="1" applyFill="1" applyBorder="1" applyAlignment="1">
      <alignment horizontal="center" wrapText="1"/>
    </xf>
    <xf numFmtId="2" fontId="27" fillId="0" borderId="30" xfId="0" applyNumberFormat="1" applyFont="1" applyBorder="1" applyAlignment="1">
      <alignment horizontal="center" vertical="center"/>
    </xf>
    <xf numFmtId="0" fontId="27" fillId="0" borderId="32" xfId="0" applyFont="1" applyFill="1" applyBorder="1" applyAlignment="1">
      <alignment horizontal="center" wrapText="1"/>
    </xf>
    <xf numFmtId="0" fontId="27" fillId="0" borderId="30" xfId="0" applyFont="1" applyFill="1" applyBorder="1" applyAlignment="1">
      <alignment horizontal="center" wrapText="1"/>
    </xf>
    <xf numFmtId="2" fontId="27" fillId="0" borderId="38" xfId="0" applyNumberFormat="1" applyFont="1" applyBorder="1" applyAlignment="1">
      <alignment horizontal="center" vertical="center"/>
    </xf>
    <xf numFmtId="2" fontId="27" fillId="0" borderId="33" xfId="0" applyNumberFormat="1" applyFont="1" applyBorder="1" applyAlignment="1">
      <alignment horizontal="center" vertical="center"/>
    </xf>
    <xf numFmtId="1" fontId="30" fillId="0" borderId="35" xfId="0" applyNumberFormat="1" applyFont="1" applyFill="1" applyBorder="1" applyAlignment="1">
      <alignment horizontal="center"/>
    </xf>
    <xf numFmtId="2" fontId="30" fillId="0" borderId="35" xfId="0" applyNumberFormat="1" applyFont="1" applyFill="1" applyBorder="1" applyAlignment="1">
      <alignment horizontal="center" wrapText="1"/>
    </xf>
    <xf numFmtId="2" fontId="30" fillId="0" borderId="24" xfId="0" applyNumberFormat="1" applyFont="1" applyFill="1" applyBorder="1" applyAlignment="1">
      <alignment horizontal="center" wrapText="1"/>
    </xf>
    <xf numFmtId="2" fontId="30" fillId="0" borderId="37" xfId="0" applyNumberFormat="1" applyFont="1" applyBorder="1" applyAlignment="1">
      <alignment horizontal="center" vertical="center"/>
    </xf>
    <xf numFmtId="0" fontId="30" fillId="0" borderId="30" xfId="0" applyFont="1" applyFill="1" applyBorder="1" applyAlignment="1">
      <alignment horizontal="center" wrapText="1"/>
    </xf>
    <xf numFmtId="1" fontId="30" fillId="0" borderId="30" xfId="0" applyNumberFormat="1" applyFont="1" applyFill="1" applyBorder="1" applyAlignment="1">
      <alignment horizontal="center" wrapText="1"/>
    </xf>
    <xf numFmtId="0" fontId="30" fillId="0" borderId="32" xfId="0" applyFont="1" applyFill="1" applyBorder="1" applyAlignment="1">
      <alignment horizontal="center" wrapText="1"/>
    </xf>
    <xf numFmtId="1" fontId="30" fillId="0" borderId="30" xfId="0" applyNumberFormat="1" applyFont="1" applyFill="1" applyBorder="1" applyAlignment="1">
      <alignment horizontal="center"/>
    </xf>
    <xf numFmtId="0" fontId="28" fillId="0" borderId="40" xfId="0" applyFont="1" applyBorder="1" applyAlignment="1">
      <alignment horizontal="center" vertical="center" wrapText="1"/>
    </xf>
    <xf numFmtId="0" fontId="28" fillId="0" borderId="40" xfId="0" applyFont="1" applyFill="1" applyBorder="1" applyAlignment="1">
      <alignment horizontal="center" vertical="center" wrapText="1"/>
    </xf>
    <xf numFmtId="1" fontId="0" fillId="0" borderId="0" xfId="0" applyNumberFormat="1" applyBorder="1"/>
    <xf numFmtId="2" fontId="30" fillId="0" borderId="0" xfId="0" applyNumberFormat="1" applyFont="1" applyFill="1" applyBorder="1" applyAlignment="1">
      <alignment horizontal="center" wrapText="1"/>
    </xf>
    <xf numFmtId="2" fontId="30" fillId="0" borderId="0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0" xfId="0" applyAlignment="1"/>
    <xf numFmtId="1" fontId="0" fillId="0" borderId="0" xfId="0" applyNumberFormat="1" applyBorder="1" applyAlignment="1"/>
    <xf numFmtId="0" fontId="28" fillId="0" borderId="0" xfId="0" applyFont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0" fillId="0" borderId="0" xfId="0" applyBorder="1" applyAlignment="1"/>
    <xf numFmtId="2" fontId="0" fillId="0" borderId="0" xfId="0" applyNumberFormat="1" applyBorder="1" applyAlignment="1"/>
    <xf numFmtId="0" fontId="31" fillId="0" borderId="0" xfId="0" applyFont="1"/>
    <xf numFmtId="0" fontId="31" fillId="0" borderId="1" xfId="0" applyFont="1" applyFill="1" applyBorder="1" applyAlignment="1">
      <alignment horizontal="center" vertical="center"/>
    </xf>
    <xf numFmtId="0" fontId="31" fillId="0" borderId="1" xfId="0" applyFont="1" applyFill="1" applyBorder="1"/>
    <xf numFmtId="0" fontId="31" fillId="0" borderId="1" xfId="0" applyFont="1" applyFill="1" applyBorder="1" applyAlignment="1">
      <alignment horizontal="center"/>
    </xf>
    <xf numFmtId="2" fontId="31" fillId="0" borderId="1" xfId="0" applyNumberFormat="1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/>
    </xf>
    <xf numFmtId="2" fontId="32" fillId="0" borderId="1" xfId="0" applyNumberFormat="1" applyFont="1" applyFill="1" applyBorder="1" applyAlignment="1">
      <alignment horizontal="center" vertical="center"/>
    </xf>
    <xf numFmtId="0" fontId="33" fillId="0" borderId="0" xfId="0" applyFont="1"/>
    <xf numFmtId="171" fontId="31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vertical="center"/>
    </xf>
    <xf numFmtId="0" fontId="31" fillId="0" borderId="0" xfId="0" applyFont="1" applyBorder="1"/>
    <xf numFmtId="169" fontId="31" fillId="0" borderId="1" xfId="0" applyNumberFormat="1" applyFont="1" applyFill="1" applyBorder="1" applyAlignment="1">
      <alignment horizontal="center" vertical="center"/>
    </xf>
    <xf numFmtId="0" fontId="31" fillId="0" borderId="1" xfId="0" applyFont="1" applyFill="1" applyBorder="1" applyAlignment="1"/>
    <xf numFmtId="0" fontId="34" fillId="0" borderId="1" xfId="0" applyFont="1" applyFill="1" applyBorder="1" applyAlignment="1">
      <alignment vertical="center"/>
    </xf>
    <xf numFmtId="171" fontId="3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Border="1"/>
    <xf numFmtId="0" fontId="31" fillId="0" borderId="0" xfId="0" applyFont="1" applyFill="1"/>
    <xf numFmtId="167" fontId="31" fillId="0" borderId="0" xfId="0" applyNumberFormat="1" applyFont="1"/>
    <xf numFmtId="49" fontId="27" fillId="0" borderId="20" xfId="0" applyNumberFormat="1" applyFont="1" applyBorder="1" applyAlignment="1">
      <alignment horizontal="center"/>
    </xf>
    <xf numFmtId="49" fontId="27" fillId="0" borderId="18" xfId="0" applyNumberFormat="1" applyFont="1" applyBorder="1" applyAlignment="1">
      <alignment horizontal="center"/>
    </xf>
    <xf numFmtId="49" fontId="27" fillId="0" borderId="17" xfId="0" applyNumberFormat="1" applyFont="1" applyBorder="1" applyAlignment="1">
      <alignment horizontal="center"/>
    </xf>
    <xf numFmtId="0" fontId="30" fillId="0" borderId="22" xfId="0" applyFont="1" applyFill="1" applyBorder="1" applyAlignment="1">
      <alignment horizontal="center" vertical="center" wrapText="1"/>
    </xf>
    <xf numFmtId="0" fontId="30" fillId="0" borderId="39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left"/>
    </xf>
    <xf numFmtId="0" fontId="28" fillId="0" borderId="22" xfId="0" applyFont="1" applyBorder="1" applyAlignment="1">
      <alignment horizontal="center" vertical="center"/>
    </xf>
    <xf numFmtId="0" fontId="28" fillId="0" borderId="23" xfId="0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8" fillId="0" borderId="27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top"/>
    </xf>
    <xf numFmtId="0" fontId="28" fillId="0" borderId="11" xfId="0" applyFont="1" applyBorder="1" applyAlignment="1">
      <alignment horizontal="center" vertical="top"/>
    </xf>
    <xf numFmtId="0" fontId="28" fillId="0" borderId="9" xfId="0" applyFont="1" applyBorder="1" applyAlignment="1">
      <alignment horizontal="center" vertical="top"/>
    </xf>
    <xf numFmtId="0" fontId="28" fillId="0" borderId="5" xfId="0" applyFont="1" applyBorder="1" applyAlignment="1">
      <alignment horizontal="center" vertical="top"/>
    </xf>
    <xf numFmtId="0" fontId="28" fillId="0" borderId="8" xfId="0" applyFont="1" applyBorder="1" applyAlignment="1">
      <alignment horizontal="center" vertical="top"/>
    </xf>
    <xf numFmtId="0" fontId="27" fillId="0" borderId="28" xfId="0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8" fillId="0" borderId="29" xfId="0" applyFont="1" applyBorder="1" applyAlignment="1">
      <alignment horizontal="center" vertical="top"/>
    </xf>
    <xf numFmtId="49" fontId="27" fillId="0" borderId="1" xfId="0" applyNumberFormat="1" applyFont="1" applyBorder="1" applyAlignment="1">
      <alignment horizontal="center"/>
    </xf>
    <xf numFmtId="171" fontId="32" fillId="0" borderId="1" xfId="0" applyNumberFormat="1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vertical="center"/>
    </xf>
    <xf numFmtId="0" fontId="31" fillId="0" borderId="8" xfId="0" applyFont="1" applyFill="1" applyBorder="1" applyAlignment="1">
      <alignment vertical="center"/>
    </xf>
    <xf numFmtId="0" fontId="31" fillId="0" borderId="6" xfId="0" applyFont="1" applyFill="1" applyBorder="1" applyAlignment="1">
      <alignment vertical="center"/>
    </xf>
    <xf numFmtId="0" fontId="31" fillId="0" borderId="5" xfId="0" applyFont="1" applyFill="1" applyBorder="1" applyAlignment="1"/>
    <xf numFmtId="0" fontId="31" fillId="0" borderId="8" xfId="0" applyFont="1" applyFill="1" applyBorder="1" applyAlignment="1"/>
    <xf numFmtId="0" fontId="31" fillId="0" borderId="6" xfId="0" applyFont="1" applyFill="1" applyBorder="1" applyAlignment="1"/>
    <xf numFmtId="0" fontId="32" fillId="0" borderId="0" xfId="6" applyFont="1" applyFill="1"/>
    <xf numFmtId="1" fontId="32" fillId="0" borderId="0" xfId="6" applyNumberFormat="1" applyFont="1" applyFill="1"/>
    <xf numFmtId="171" fontId="35" fillId="0" borderId="1" xfId="6" applyNumberFormat="1" applyFont="1" applyFill="1" applyBorder="1" applyAlignment="1">
      <alignment horizontal="center" vertical="center" wrapText="1"/>
    </xf>
    <xf numFmtId="3" fontId="35" fillId="0" borderId="1" xfId="0" applyNumberFormat="1" applyFont="1" applyFill="1" applyBorder="1" applyAlignment="1">
      <alignment horizontal="center" vertical="center"/>
    </xf>
    <xf numFmtId="3" fontId="32" fillId="0" borderId="1" xfId="6" applyNumberFormat="1" applyFont="1" applyFill="1" applyBorder="1" applyAlignment="1">
      <alignment horizontal="center" vertical="center" wrapText="1"/>
    </xf>
    <xf numFmtId="0" fontId="32" fillId="0" borderId="1" xfId="6" applyFont="1" applyFill="1" applyBorder="1"/>
    <xf numFmtId="0" fontId="32" fillId="0" borderId="41" xfId="0" applyFont="1" applyFill="1" applyBorder="1" applyAlignment="1">
      <alignment horizontal="left" vertical="top" wrapText="1" indent="2"/>
    </xf>
    <xf numFmtId="2" fontId="35" fillId="0" borderId="1" xfId="6" applyNumberFormat="1" applyFont="1" applyFill="1" applyBorder="1" applyAlignment="1">
      <alignment horizontal="center" vertical="center" wrapText="1"/>
    </xf>
    <xf numFmtId="49" fontId="32" fillId="0" borderId="41" xfId="0" applyNumberFormat="1" applyFont="1" applyFill="1" applyBorder="1" applyAlignment="1">
      <alignment horizontal="left" vertical="top" wrapText="1" indent="2"/>
    </xf>
    <xf numFmtId="2" fontId="32" fillId="0" borderId="1" xfId="6" applyNumberFormat="1" applyFont="1" applyFill="1" applyBorder="1" applyAlignment="1">
      <alignment horizontal="center" vertical="center" wrapText="1"/>
    </xf>
    <xf numFmtId="0" fontId="32" fillId="0" borderId="1" xfId="0" applyFont="1" applyFill="1" applyBorder="1"/>
    <xf numFmtId="169" fontId="35" fillId="0" borderId="1" xfId="6" applyNumberFormat="1" applyFont="1" applyFill="1" applyBorder="1" applyAlignment="1">
      <alignment horizontal="center" vertical="center" wrapText="1"/>
    </xf>
    <xf numFmtId="1" fontId="35" fillId="0" borderId="1" xfId="6" applyNumberFormat="1" applyFont="1" applyFill="1" applyBorder="1" applyAlignment="1">
      <alignment horizontal="center" vertical="center" wrapText="1"/>
    </xf>
    <xf numFmtId="166" fontId="32" fillId="0" borderId="1" xfId="6" applyNumberFormat="1" applyFont="1" applyFill="1" applyBorder="1" applyAlignment="1">
      <alignment horizontal="center" vertical="center" wrapText="1"/>
    </xf>
    <xf numFmtId="3" fontId="35" fillId="0" borderId="1" xfId="6" applyNumberFormat="1" applyFont="1" applyFill="1" applyBorder="1" applyAlignment="1">
      <alignment horizontal="center" vertical="center" wrapText="1"/>
    </xf>
    <xf numFmtId="2" fontId="35" fillId="0" borderId="5" xfId="0" applyNumberFormat="1" applyFont="1" applyFill="1" applyBorder="1" applyAlignment="1">
      <alignment horizontal="center" vertical="center" wrapText="1"/>
    </xf>
    <xf numFmtId="0" fontId="32" fillId="0" borderId="41" xfId="0" applyFont="1" applyFill="1" applyBorder="1" applyAlignment="1">
      <alignment horizontal="center" vertical="top" wrapText="1"/>
    </xf>
    <xf numFmtId="4" fontId="32" fillId="0" borderId="1" xfId="6" applyNumberFormat="1" applyFont="1" applyFill="1" applyBorder="1" applyAlignment="1">
      <alignment horizontal="center" vertical="center" wrapText="1"/>
    </xf>
    <xf numFmtId="2" fontId="32" fillId="0" borderId="0" xfId="6" applyNumberFormat="1" applyFont="1" applyFill="1"/>
    <xf numFmtId="0" fontId="35" fillId="0" borderId="1" xfId="6" applyFont="1" applyFill="1" applyBorder="1" applyAlignment="1">
      <alignment horizontal="left" vertical="center" wrapText="1"/>
    </xf>
    <xf numFmtId="171" fontId="32" fillId="0" borderId="1" xfId="6" applyNumberFormat="1" applyFont="1" applyFill="1" applyBorder="1" applyAlignment="1">
      <alignment horizontal="center" vertical="center" wrapText="1"/>
    </xf>
    <xf numFmtId="171" fontId="32" fillId="0" borderId="2" xfId="6" applyNumberFormat="1" applyFont="1" applyFill="1" applyBorder="1" applyAlignment="1">
      <alignment horizontal="center" vertical="center" wrapText="1"/>
    </xf>
    <xf numFmtId="0" fontId="32" fillId="0" borderId="42" xfId="0" applyFont="1" applyFill="1" applyBorder="1" applyAlignment="1">
      <alignment horizontal="center" vertical="top" wrapText="1"/>
    </xf>
    <xf numFmtId="0" fontId="32" fillId="0" borderId="43" xfId="0" applyFont="1" applyFill="1" applyBorder="1" applyAlignment="1">
      <alignment horizontal="center" vertical="top" wrapText="1"/>
    </xf>
    <xf numFmtId="0" fontId="32" fillId="0" borderId="5" xfId="0" applyFont="1" applyFill="1" applyBorder="1" applyAlignment="1">
      <alignment horizontal="center" vertical="top" wrapText="1"/>
    </xf>
    <xf numFmtId="0" fontId="32" fillId="0" borderId="1" xfId="0" applyFont="1" applyFill="1" applyBorder="1" applyAlignment="1">
      <alignment horizontal="left" vertical="top" wrapText="1" indent="1"/>
    </xf>
    <xf numFmtId="0" fontId="35" fillId="0" borderId="44" xfId="0" applyFont="1" applyFill="1" applyBorder="1" applyAlignment="1">
      <alignment horizontal="left" vertical="top" wrapText="1"/>
    </xf>
    <xf numFmtId="169" fontId="32" fillId="0" borderId="1" xfId="6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wrapText="1"/>
    </xf>
    <xf numFmtId="0" fontId="32" fillId="0" borderId="41" xfId="0" applyFont="1" applyFill="1" applyBorder="1" applyAlignment="1">
      <alignment horizontal="left" vertical="top" wrapText="1" indent="1"/>
    </xf>
    <xf numFmtId="0" fontId="32" fillId="0" borderId="1" xfId="6" applyFont="1" applyFill="1" applyBorder="1" applyAlignment="1">
      <alignment horizontal="center" vertical="center" wrapText="1"/>
    </xf>
    <xf numFmtId="0" fontId="35" fillId="0" borderId="41" xfId="0" applyFont="1" applyFill="1" applyBorder="1" applyAlignment="1">
      <alignment horizontal="left" vertical="top" wrapText="1"/>
    </xf>
    <xf numFmtId="49" fontId="32" fillId="0" borderId="41" xfId="0" applyNumberFormat="1" applyFont="1" applyFill="1" applyBorder="1" applyAlignment="1">
      <alignment horizontal="left" vertical="top" wrapText="1" indent="1"/>
    </xf>
    <xf numFmtId="49" fontId="37" fillId="0" borderId="41" xfId="0" applyNumberFormat="1" applyFont="1" applyFill="1" applyBorder="1" applyAlignment="1">
      <alignment horizontal="left" vertical="top" wrapText="1" indent="1"/>
    </xf>
    <xf numFmtId="169" fontId="35" fillId="0" borderId="1" xfId="0" applyNumberFormat="1" applyFont="1" applyFill="1" applyBorder="1" applyAlignment="1">
      <alignment horizontal="center" vertical="center" wrapText="1"/>
    </xf>
    <xf numFmtId="170" fontId="32" fillId="0" borderId="1" xfId="6" applyNumberFormat="1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/>
    </xf>
    <xf numFmtId="2" fontId="35" fillId="0" borderId="1" xfId="0" applyNumberFormat="1" applyFont="1" applyFill="1" applyBorder="1" applyAlignment="1">
      <alignment horizontal="center" vertical="center" wrapText="1"/>
    </xf>
    <xf numFmtId="166" fontId="32" fillId="0" borderId="41" xfId="0" applyNumberFormat="1" applyFont="1" applyFill="1" applyBorder="1" applyAlignment="1">
      <alignment horizontal="left" vertical="top" wrapText="1" indent="2"/>
    </xf>
    <xf numFmtId="166" fontId="32" fillId="0" borderId="1" xfId="0" applyNumberFormat="1" applyFont="1" applyFill="1" applyBorder="1" applyAlignment="1">
      <alignment horizontal="left" vertical="top" wrapText="1" indent="2"/>
    </xf>
    <xf numFmtId="166" fontId="32" fillId="0" borderId="0" xfId="0" applyNumberFormat="1" applyFont="1" applyFill="1" applyBorder="1" applyAlignment="1">
      <alignment horizontal="left" vertical="top" wrapText="1" indent="2"/>
    </xf>
    <xf numFmtId="166" fontId="32" fillId="0" borderId="4" xfId="6" applyNumberFormat="1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2" fillId="0" borderId="41" xfId="0" applyFont="1" applyFill="1" applyBorder="1" applyAlignment="1">
      <alignment horizontal="left" vertical="center" wrapText="1" indent="2"/>
    </xf>
    <xf numFmtId="0" fontId="32" fillId="0" borderId="47" xfId="0" applyFont="1" applyFill="1" applyBorder="1" applyAlignment="1">
      <alignment horizontal="left" vertical="top" wrapText="1" indent="2"/>
    </xf>
    <xf numFmtId="171" fontId="35" fillId="0" borderId="2" xfId="6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top" wrapText="1"/>
    </xf>
    <xf numFmtId="0" fontId="32" fillId="0" borderId="1" xfId="0" applyFont="1" applyFill="1" applyBorder="1" applyAlignment="1">
      <alignment vertical="center" wrapText="1"/>
    </xf>
    <xf numFmtId="171" fontId="32" fillId="0" borderId="1" xfId="6" applyNumberFormat="1" applyFont="1" applyFill="1" applyBorder="1" applyAlignment="1">
      <alignment horizontal="center"/>
    </xf>
    <xf numFmtId="169" fontId="32" fillId="0" borderId="1" xfId="6" applyNumberFormat="1" applyFont="1" applyFill="1" applyBorder="1" applyAlignment="1">
      <alignment horizontal="center"/>
    </xf>
    <xf numFmtId="3" fontId="32" fillId="0" borderId="1" xfId="6" applyNumberFormat="1" applyFont="1" applyFill="1" applyBorder="1" applyAlignment="1">
      <alignment horizontal="center"/>
    </xf>
    <xf numFmtId="0" fontId="35" fillId="0" borderId="1" xfId="6" applyFont="1" applyFill="1" applyBorder="1" applyAlignment="1">
      <alignment horizontal="center" wrapText="1"/>
    </xf>
    <xf numFmtId="0" fontId="35" fillId="0" borderId="1" xfId="6" applyFont="1" applyFill="1" applyBorder="1"/>
    <xf numFmtId="1" fontId="32" fillId="0" borderId="1" xfId="6" applyNumberFormat="1" applyFont="1" applyFill="1" applyBorder="1" applyAlignment="1">
      <alignment horizontal="center" vertical="center" wrapText="1"/>
    </xf>
    <xf numFmtId="0" fontId="32" fillId="0" borderId="47" xfId="0" applyFont="1" applyFill="1" applyBorder="1" applyAlignment="1">
      <alignment horizontal="left" vertical="top" wrapText="1" indent="1"/>
    </xf>
    <xf numFmtId="0" fontId="32" fillId="0" borderId="48" xfId="0" applyFont="1" applyFill="1" applyBorder="1" applyAlignment="1">
      <alignment horizontal="center" vertical="top" wrapText="1"/>
    </xf>
    <xf numFmtId="4" fontId="32" fillId="0" borderId="1" xfId="6" applyNumberFormat="1" applyFont="1" applyFill="1" applyBorder="1" applyAlignment="1">
      <alignment horizontal="center"/>
    </xf>
    <xf numFmtId="3" fontId="35" fillId="0" borderId="1" xfId="6" applyNumberFormat="1" applyFont="1" applyFill="1" applyBorder="1" applyAlignment="1">
      <alignment horizontal="center"/>
    </xf>
    <xf numFmtId="0" fontId="32" fillId="0" borderId="44" xfId="0" applyFont="1" applyFill="1" applyBorder="1" applyAlignment="1">
      <alignment horizontal="left" vertical="top" wrapText="1" indent="1"/>
    </xf>
    <xf numFmtId="0" fontId="32" fillId="0" borderId="41" xfId="0" applyFont="1" applyFill="1" applyBorder="1" applyAlignment="1">
      <alignment horizontal="left" vertical="top" wrapText="1" indent="4"/>
    </xf>
    <xf numFmtId="0" fontId="35" fillId="0" borderId="1" xfId="6" applyFont="1" applyFill="1" applyBorder="1" applyAlignment="1">
      <alignment wrapText="1"/>
    </xf>
    <xf numFmtId="0" fontId="32" fillId="0" borderId="1" xfId="6" applyFont="1" applyFill="1" applyBorder="1" applyAlignment="1">
      <alignment horizontal="center" vertical="center"/>
    </xf>
    <xf numFmtId="3" fontId="32" fillId="0" borderId="1" xfId="6" applyNumberFormat="1" applyFont="1" applyFill="1" applyBorder="1" applyAlignment="1">
      <alignment horizontal="center" vertical="center"/>
    </xf>
    <xf numFmtId="171" fontId="32" fillId="0" borderId="1" xfId="6" applyNumberFormat="1" applyFont="1" applyFill="1" applyBorder="1" applyAlignment="1">
      <alignment horizontal="center" vertical="center"/>
    </xf>
    <xf numFmtId="171" fontId="35" fillId="0" borderId="1" xfId="6" applyNumberFormat="1" applyFont="1" applyFill="1" applyBorder="1" applyAlignment="1">
      <alignment horizontal="center"/>
    </xf>
    <xf numFmtId="4" fontId="35" fillId="0" borderId="1" xfId="6" applyNumberFormat="1" applyFont="1" applyFill="1" applyBorder="1" applyAlignment="1">
      <alignment horizontal="center"/>
    </xf>
    <xf numFmtId="171" fontId="35" fillId="0" borderId="1" xfId="6" applyNumberFormat="1" applyFont="1" applyFill="1" applyBorder="1" applyAlignment="1">
      <alignment horizontal="center" vertical="center"/>
    </xf>
    <xf numFmtId="4" fontId="35" fillId="0" borderId="1" xfId="6" applyNumberFormat="1" applyFont="1" applyFill="1" applyBorder="1" applyAlignment="1">
      <alignment horizontal="center" vertical="center"/>
    </xf>
    <xf numFmtId="167" fontId="32" fillId="0" borderId="1" xfId="6" applyNumberFormat="1" applyFont="1" applyFill="1" applyBorder="1" applyAlignment="1">
      <alignment horizontal="center" vertical="center" wrapText="1"/>
    </xf>
    <xf numFmtId="170" fontId="32" fillId="0" borderId="1" xfId="6" applyNumberFormat="1" applyFont="1" applyFill="1" applyBorder="1" applyAlignment="1">
      <alignment horizontal="center"/>
    </xf>
    <xf numFmtId="2" fontId="35" fillId="0" borderId="1" xfId="1" applyNumberFormat="1" applyFont="1" applyFill="1" applyBorder="1" applyAlignment="1">
      <alignment horizontal="center" vertical="center" wrapText="1"/>
    </xf>
    <xf numFmtId="171" fontId="35" fillId="0" borderId="1" xfId="1" applyNumberFormat="1" applyFont="1" applyFill="1" applyBorder="1" applyAlignment="1">
      <alignment horizontal="center" vertical="center" wrapText="1"/>
    </xf>
    <xf numFmtId="0" fontId="35" fillId="0" borderId="5" xfId="1" applyFont="1" applyFill="1" applyBorder="1" applyAlignment="1">
      <alignment horizontal="center" vertical="center" wrapText="1"/>
    </xf>
    <xf numFmtId="4" fontId="35" fillId="0" borderId="1" xfId="1" applyNumberFormat="1" applyFont="1" applyFill="1" applyBorder="1" applyAlignment="1">
      <alignment horizontal="center" vertical="center" wrapText="1"/>
    </xf>
    <xf numFmtId="0" fontId="32" fillId="0" borderId="5" xfId="1" applyFont="1" applyFill="1" applyBorder="1" applyAlignment="1">
      <alignment horizontal="center" vertical="center" wrapText="1"/>
    </xf>
    <xf numFmtId="169" fontId="32" fillId="0" borderId="1" xfId="1" applyNumberFormat="1" applyFont="1" applyFill="1" applyBorder="1" applyAlignment="1">
      <alignment horizontal="center" vertical="center" wrapText="1"/>
    </xf>
    <xf numFmtId="0" fontId="32" fillId="0" borderId="1" xfId="7" applyFont="1" applyFill="1" applyBorder="1" applyAlignment="1">
      <alignment horizontal="left" vertical="center" wrapText="1"/>
    </xf>
    <xf numFmtId="0" fontId="32" fillId="0" borderId="47" xfId="0" applyFont="1" applyFill="1" applyBorder="1" applyAlignment="1">
      <alignment horizontal="center" vertical="top" wrapText="1"/>
    </xf>
    <xf numFmtId="171" fontId="32" fillId="0" borderId="1" xfId="1" applyNumberFormat="1" applyFont="1" applyFill="1" applyBorder="1" applyAlignment="1">
      <alignment horizontal="center" vertical="center" wrapText="1"/>
    </xf>
    <xf numFmtId="166" fontId="32" fillId="0" borderId="1" xfId="1" applyNumberFormat="1" applyFont="1" applyFill="1" applyBorder="1" applyAlignment="1">
      <alignment horizontal="center" vertical="center" wrapText="1"/>
    </xf>
    <xf numFmtId="4" fontId="35" fillId="0" borderId="1" xfId="6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wrapText="1"/>
    </xf>
    <xf numFmtId="169" fontId="35" fillId="0" borderId="1" xfId="6" applyNumberFormat="1" applyFont="1" applyFill="1" applyBorder="1" applyAlignment="1">
      <alignment horizontal="center"/>
    </xf>
    <xf numFmtId="0" fontId="32" fillId="0" borderId="1" xfId="1" applyFont="1" applyFill="1" applyBorder="1" applyAlignment="1">
      <alignment horizontal="left" vertical="center" wrapText="1"/>
    </xf>
    <xf numFmtId="4" fontId="32" fillId="0" borderId="1" xfId="1" applyNumberFormat="1" applyFont="1" applyFill="1" applyBorder="1" applyAlignment="1">
      <alignment horizontal="center" vertical="center" wrapText="1"/>
    </xf>
    <xf numFmtId="3" fontId="32" fillId="0" borderId="0" xfId="6" applyNumberFormat="1" applyFont="1" applyFill="1"/>
    <xf numFmtId="0" fontId="35" fillId="0" borderId="1" xfId="0" applyFont="1" applyFill="1" applyBorder="1" applyAlignment="1">
      <alignment wrapText="1"/>
    </xf>
    <xf numFmtId="3" fontId="35" fillId="0" borderId="1" xfId="1" applyNumberFormat="1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wrapText="1"/>
    </xf>
    <xf numFmtId="2" fontId="32" fillId="0" borderId="1" xfId="8" applyNumberFormat="1" applyFont="1" applyFill="1" applyBorder="1" applyAlignment="1">
      <alignment horizontal="left" wrapText="1"/>
    </xf>
    <xf numFmtId="172" fontId="32" fillId="0" borderId="1" xfId="1" applyNumberFormat="1" applyFont="1" applyFill="1" applyBorder="1" applyAlignment="1">
      <alignment horizontal="center" vertical="center" wrapText="1"/>
    </xf>
    <xf numFmtId="172" fontId="35" fillId="0" borderId="1" xfId="1" applyNumberFormat="1" applyFont="1" applyFill="1" applyBorder="1" applyAlignment="1">
      <alignment horizontal="center" vertical="center" wrapText="1"/>
    </xf>
    <xf numFmtId="172" fontId="32" fillId="0" borderId="1" xfId="6" applyNumberFormat="1" applyFont="1" applyFill="1" applyBorder="1"/>
    <xf numFmtId="172" fontId="35" fillId="0" borderId="1" xfId="6" applyNumberFormat="1" applyFont="1" applyFill="1" applyBorder="1" applyAlignment="1">
      <alignment horizontal="center" vertical="center" wrapText="1"/>
    </xf>
    <xf numFmtId="172" fontId="32" fillId="0" borderId="1" xfId="0" applyNumberFormat="1" applyFont="1" applyFill="1" applyBorder="1" applyAlignment="1">
      <alignment horizontal="center" vertical="center"/>
    </xf>
    <xf numFmtId="172" fontId="35" fillId="0" borderId="1" xfId="9" applyNumberFormat="1" applyFont="1" applyFill="1" applyBorder="1" applyAlignment="1">
      <alignment horizontal="center" vertical="center" wrapText="1"/>
    </xf>
    <xf numFmtId="172" fontId="35" fillId="0" borderId="1" xfId="0" applyNumberFormat="1" applyFont="1" applyFill="1" applyBorder="1" applyAlignment="1">
      <alignment horizontal="center" vertical="center"/>
    </xf>
    <xf numFmtId="0" fontId="35" fillId="0" borderId="1" xfId="9" applyFont="1" applyFill="1" applyBorder="1" applyAlignment="1">
      <alignment vertical="center" wrapText="1"/>
    </xf>
    <xf numFmtId="172" fontId="32" fillId="0" borderId="2" xfId="1" applyNumberFormat="1" applyFont="1" applyFill="1" applyBorder="1" applyAlignment="1">
      <alignment horizontal="center" vertical="center" wrapText="1"/>
    </xf>
    <xf numFmtId="0" fontId="32" fillId="0" borderId="1" xfId="9" applyFont="1" applyFill="1" applyBorder="1" applyAlignment="1">
      <alignment horizontal="left" vertical="center" wrapText="1"/>
    </xf>
    <xf numFmtId="172" fontId="35" fillId="0" borderId="4" xfId="9" applyNumberFormat="1" applyFont="1" applyFill="1" applyBorder="1" applyAlignment="1">
      <alignment horizontal="center" vertical="center" wrapText="1"/>
    </xf>
    <xf numFmtId="172" fontId="32" fillId="0" borderId="4" xfId="1" applyNumberFormat="1" applyFont="1" applyFill="1" applyBorder="1" applyAlignment="1">
      <alignment horizontal="center" vertical="center" wrapText="1"/>
    </xf>
    <xf numFmtId="9" fontId="32" fillId="0" borderId="1" xfId="1" applyNumberFormat="1" applyFont="1" applyFill="1" applyBorder="1" applyAlignment="1">
      <alignment horizontal="center" vertical="center" wrapText="1"/>
    </xf>
    <xf numFmtId="166" fontId="35" fillId="0" borderId="1" xfId="1" applyNumberFormat="1" applyFont="1" applyFill="1" applyBorder="1" applyAlignment="1">
      <alignment horizontal="center" vertical="center" wrapText="1"/>
    </xf>
    <xf numFmtId="0" fontId="36" fillId="0" borderId="1" xfId="9" applyFont="1" applyFill="1" applyBorder="1" applyAlignment="1">
      <alignment vertical="center" wrapText="1"/>
    </xf>
    <xf numFmtId="0" fontId="32" fillId="0" borderId="1" xfId="1" applyFont="1" applyFill="1" applyBorder="1" applyAlignment="1">
      <alignment horizontal="center" vertical="center" wrapText="1"/>
    </xf>
    <xf numFmtId="171" fontId="35" fillId="0" borderId="1" xfId="0" applyNumberFormat="1" applyFont="1" applyFill="1" applyBorder="1" applyAlignment="1">
      <alignment horizontal="center" vertical="center"/>
    </xf>
    <xf numFmtId="0" fontId="32" fillId="0" borderId="0" xfId="1" applyFont="1" applyFill="1" applyBorder="1" applyAlignment="1">
      <alignment horizontal="center" vertical="center" wrapText="1"/>
    </xf>
    <xf numFmtId="169" fontId="35" fillId="0" borderId="0" xfId="1" applyNumberFormat="1" applyFont="1" applyFill="1" applyBorder="1" applyAlignment="1">
      <alignment horizontal="center"/>
    </xf>
    <xf numFmtId="173" fontId="32" fillId="0" borderId="0" xfId="6" applyNumberFormat="1" applyFont="1" applyFill="1"/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left" vertical="top" wrapText="1"/>
    </xf>
    <xf numFmtId="0" fontId="27" fillId="0" borderId="1" xfId="0" applyFont="1" applyBorder="1" applyAlignment="1">
      <alignment horizontal="center" vertical="top" wrapText="1"/>
    </xf>
    <xf numFmtId="2" fontId="27" fillId="0" borderId="1" xfId="0" applyNumberFormat="1" applyFont="1" applyBorder="1" applyAlignment="1">
      <alignment horizontal="center" vertical="top" wrapText="1"/>
    </xf>
    <xf numFmtId="1" fontId="27" fillId="0" borderId="1" xfId="0" applyNumberFormat="1" applyFont="1" applyBorder="1" applyAlignment="1">
      <alignment horizontal="center" vertical="top" wrapText="1"/>
    </xf>
    <xf numFmtId="167" fontId="27" fillId="0" borderId="1" xfId="0" applyNumberFormat="1" applyFont="1" applyBorder="1" applyAlignment="1">
      <alignment horizontal="center" vertical="top" wrapText="1"/>
    </xf>
    <xf numFmtId="169" fontId="27" fillId="0" borderId="1" xfId="0" applyNumberFormat="1" applyFont="1" applyBorder="1" applyAlignment="1">
      <alignment horizontal="center" vertical="top" wrapText="1"/>
    </xf>
    <xf numFmtId="0" fontId="25" fillId="0" borderId="0" xfId="0" applyFont="1"/>
    <xf numFmtId="0" fontId="32" fillId="0" borderId="0" xfId="0" applyFont="1" applyFill="1" applyBorder="1" applyAlignment="1">
      <alignment horizontal="left" vertical="top" wrapText="1" indent="1"/>
    </xf>
    <xf numFmtId="0" fontId="39" fillId="7" borderId="0" xfId="0" applyFont="1" applyFill="1" applyBorder="1" applyAlignment="1">
      <alignment vertical="center"/>
    </xf>
    <xf numFmtId="0" fontId="39" fillId="7" borderId="0" xfId="0" applyFont="1" applyFill="1" applyBorder="1" applyAlignment="1">
      <alignment horizontal="center" vertical="center"/>
    </xf>
    <xf numFmtId="0" fontId="40" fillId="7" borderId="0" xfId="0" applyFont="1" applyFill="1" applyBorder="1" applyAlignment="1">
      <alignment vertical="center"/>
    </xf>
    <xf numFmtId="0" fontId="41" fillId="0" borderId="0" xfId="10" applyFont="1"/>
    <xf numFmtId="0" fontId="40" fillId="0" borderId="0" xfId="0" applyFont="1" applyAlignment="1">
      <alignment horizontal="center" wrapText="1"/>
    </xf>
    <xf numFmtId="0" fontId="39" fillId="0" borderId="1" xfId="0" applyFont="1" applyBorder="1" applyAlignment="1">
      <alignment horizontal="center"/>
    </xf>
    <xf numFmtId="0" fontId="39" fillId="0" borderId="1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169" fontId="39" fillId="0" borderId="1" xfId="0" applyNumberFormat="1" applyFont="1" applyBorder="1" applyAlignment="1">
      <alignment horizontal="center" wrapText="1"/>
    </xf>
    <xf numFmtId="169" fontId="39" fillId="0" borderId="1" xfId="0" applyNumberFormat="1" applyFont="1" applyBorder="1" applyAlignment="1">
      <alignment wrapText="1"/>
    </xf>
    <xf numFmtId="169" fontId="39" fillId="0" borderId="1" xfId="0" applyNumberFormat="1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/>
    </xf>
    <xf numFmtId="1" fontId="39" fillId="0" borderId="5" xfId="0" applyNumberFormat="1" applyFont="1" applyBorder="1" applyAlignment="1">
      <alignment horizontal="center" vertical="center"/>
    </xf>
    <xf numFmtId="0" fontId="41" fillId="0" borderId="0" xfId="0" applyFont="1"/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/>
    </xf>
    <xf numFmtId="169" fontId="39" fillId="0" borderId="4" xfId="0" applyNumberFormat="1" applyFont="1" applyBorder="1" applyAlignment="1">
      <alignment horizontal="center" vertical="center"/>
    </xf>
    <xf numFmtId="1" fontId="39" fillId="0" borderId="10" xfId="0" applyNumberFormat="1" applyFont="1" applyBorder="1" applyAlignment="1">
      <alignment horizontal="center" vertical="center"/>
    </xf>
    <xf numFmtId="2" fontId="39" fillId="0" borderId="1" xfId="0" applyNumberFormat="1" applyFont="1" applyBorder="1" applyAlignment="1">
      <alignment horizontal="center" vertical="center"/>
    </xf>
    <xf numFmtId="169" fontId="39" fillId="0" borderId="5" xfId="0" applyNumberFormat="1" applyFont="1" applyBorder="1" applyAlignment="1">
      <alignment horizontal="center" vertical="center"/>
    </xf>
    <xf numFmtId="169" fontId="39" fillId="0" borderId="0" xfId="0" applyNumberFormat="1" applyFont="1" applyAlignment="1">
      <alignment horizontal="center" vertical="center"/>
    </xf>
    <xf numFmtId="169" fontId="39" fillId="0" borderId="10" xfId="0" applyNumberFormat="1" applyFont="1" applyBorder="1" applyAlignment="1">
      <alignment horizontal="center" vertical="center"/>
    </xf>
    <xf numFmtId="0" fontId="42" fillId="0" borderId="50" xfId="0" applyFont="1" applyBorder="1" applyAlignment="1">
      <alignment vertical="center"/>
    </xf>
    <xf numFmtId="0" fontId="42" fillId="0" borderId="50" xfId="0" applyFont="1" applyBorder="1" applyAlignment="1">
      <alignment horizontal="center" vertical="center"/>
    </xf>
    <xf numFmtId="0" fontId="43" fillId="0" borderId="51" xfId="0" applyFont="1" applyBorder="1" applyAlignment="1">
      <alignment horizontal="left" vertical="center"/>
    </xf>
    <xf numFmtId="174" fontId="45" fillId="0" borderId="51" xfId="11" applyNumberFormat="1" applyFont="1" applyFill="1" applyBorder="1" applyAlignment="1">
      <alignment horizontal="right" vertical="center"/>
    </xf>
    <xf numFmtId="0" fontId="43" fillId="0" borderId="0" xfId="0" applyFont="1" applyAlignment="1">
      <alignment horizontal="left" vertical="center"/>
    </xf>
    <xf numFmtId="174" fontId="45" fillId="0" borderId="0" xfId="11" applyNumberFormat="1" applyFont="1" applyFill="1" applyBorder="1" applyAlignment="1">
      <alignment horizontal="right" vertical="center"/>
    </xf>
    <xf numFmtId="0" fontId="43" fillId="0" borderId="11" xfId="0" applyFont="1" applyBorder="1" applyAlignment="1">
      <alignment horizontal="left" vertical="center"/>
    </xf>
    <xf numFmtId="168" fontId="46" fillId="0" borderId="0" xfId="11" applyFont="1" applyFill="1" applyBorder="1" applyAlignment="1">
      <alignment horizontal="right" vertical="center"/>
    </xf>
    <xf numFmtId="175" fontId="46" fillId="0" borderId="0" xfId="11" applyNumberFormat="1" applyFont="1" applyFill="1" applyBorder="1" applyAlignment="1">
      <alignment horizontal="right" vertical="center"/>
    </xf>
    <xf numFmtId="0" fontId="28" fillId="0" borderId="1" xfId="12" applyFont="1" applyBorder="1" applyAlignment="1">
      <alignment horizontal="center" vertical="center"/>
    </xf>
    <xf numFmtId="0" fontId="28" fillId="0" borderId="52" xfId="12" applyFont="1" applyBorder="1"/>
    <xf numFmtId="0" fontId="47" fillId="0" borderId="52" xfId="12" applyFont="1" applyBorder="1"/>
    <xf numFmtId="0" fontId="27" fillId="0" borderId="52" xfId="12" applyFont="1" applyBorder="1"/>
    <xf numFmtId="0" fontId="27" fillId="0" borderId="46" xfId="12" applyFont="1" applyBorder="1"/>
    <xf numFmtId="9" fontId="27" fillId="0" borderId="46" xfId="5" applyFont="1" applyBorder="1" applyAlignment="1">
      <alignment horizontal="center"/>
    </xf>
    <xf numFmtId="0" fontId="28" fillId="0" borderId="46" xfId="12" applyFont="1" applyBorder="1"/>
    <xf numFmtId="0" fontId="27" fillId="0" borderId="46" xfId="12" applyFont="1" applyBorder="1" applyAlignment="1">
      <alignment horizontal="center"/>
    </xf>
    <xf numFmtId="0" fontId="27" fillId="0" borderId="53" xfId="12" applyFont="1" applyBorder="1"/>
    <xf numFmtId="9" fontId="27" fillId="0" borderId="53" xfId="5" applyFont="1" applyBorder="1" applyAlignment="1">
      <alignment horizontal="center"/>
    </xf>
    <xf numFmtId="43" fontId="0" fillId="0" borderId="0" xfId="0" applyNumberFormat="1"/>
    <xf numFmtId="49" fontId="32" fillId="0" borderId="47" xfId="0" applyNumberFormat="1" applyFont="1" applyFill="1" applyBorder="1" applyAlignment="1">
      <alignment horizontal="left" vertical="top" wrapText="1" indent="2"/>
    </xf>
    <xf numFmtId="0" fontId="2" fillId="0" borderId="0" xfId="0" applyFont="1" applyBorder="1"/>
    <xf numFmtId="0" fontId="48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/>
    </xf>
    <xf numFmtId="2" fontId="2" fillId="0" borderId="0" xfId="0" applyNumberFormat="1" applyFont="1"/>
    <xf numFmtId="0" fontId="1" fillId="0" borderId="0" xfId="0" applyFont="1" applyAlignment="1">
      <alignment horizontal="right"/>
    </xf>
    <xf numFmtId="0" fontId="37" fillId="0" borderId="1" xfId="6" applyFont="1" applyFill="1" applyBorder="1"/>
    <xf numFmtId="0" fontId="36" fillId="0" borderId="1" xfId="0" applyFont="1" applyFill="1" applyBorder="1" applyAlignment="1">
      <alignment horizontal="center" wrapText="1"/>
    </xf>
    <xf numFmtId="2" fontId="37" fillId="0" borderId="1" xfId="6" applyNumberFormat="1" applyFont="1" applyFill="1" applyBorder="1" applyAlignment="1">
      <alignment horizontal="center" vertical="center" wrapText="1"/>
    </xf>
    <xf numFmtId="169" fontId="37" fillId="0" borderId="1" xfId="6" applyNumberFormat="1" applyFont="1" applyFill="1" applyBorder="1" applyAlignment="1">
      <alignment horizontal="center"/>
    </xf>
    <xf numFmtId="0" fontId="31" fillId="0" borderId="1" xfId="0" applyFont="1" applyBorder="1" applyAlignment="1">
      <alignment vertical="center" wrapText="1"/>
    </xf>
    <xf numFmtId="0" fontId="31" fillId="0" borderId="1" xfId="0" applyFont="1" applyBorder="1" applyAlignment="1">
      <alignment horizontal="center" vertical="center"/>
    </xf>
    <xf numFmtId="2" fontId="27" fillId="0" borderId="1" xfId="0" applyNumberFormat="1" applyFont="1" applyBorder="1"/>
    <xf numFmtId="0" fontId="27" fillId="0" borderId="1" xfId="0" applyFont="1" applyBorder="1"/>
    <xf numFmtId="0" fontId="31" fillId="8" borderId="1" xfId="0" applyFont="1" applyFill="1" applyBorder="1" applyAlignment="1">
      <alignment vertical="center" wrapText="1"/>
    </xf>
    <xf numFmtId="0" fontId="31" fillId="8" borderId="1" xfId="0" applyFont="1" applyFill="1" applyBorder="1" applyAlignment="1">
      <alignment horizontal="center" vertical="center"/>
    </xf>
    <xf numFmtId="0" fontId="27" fillId="8" borderId="1" xfId="0" applyFont="1" applyFill="1" applyBorder="1"/>
    <xf numFmtId="0" fontId="0" fillId="8" borderId="1" xfId="0" applyFill="1" applyBorder="1"/>
    <xf numFmtId="0" fontId="51" fillId="7" borderId="0" xfId="16" applyFont="1" applyFill="1" applyAlignment="1">
      <alignment horizontal="left" wrapText="1"/>
    </xf>
    <xf numFmtId="0" fontId="51" fillId="7" borderId="0" xfId="16" applyFont="1" applyFill="1" applyAlignment="1"/>
    <xf numFmtId="0" fontId="51" fillId="7" borderId="12" xfId="16" applyFont="1" applyFill="1" applyBorder="1" applyAlignment="1">
      <alignment horizontal="left"/>
    </xf>
    <xf numFmtId="0" fontId="51" fillId="7" borderId="0" xfId="16" applyFont="1" applyFill="1" applyAlignment="1">
      <alignment horizontal="center" wrapText="1"/>
    </xf>
    <xf numFmtId="0" fontId="52" fillId="7" borderId="1" xfId="16" applyFont="1" applyFill="1" applyBorder="1" applyAlignment="1">
      <alignment horizontal="center"/>
    </xf>
    <xf numFmtId="0" fontId="53" fillId="7" borderId="4" xfId="16" applyFont="1" applyFill="1" applyBorder="1" applyAlignment="1">
      <alignment vertical="center" wrapText="1"/>
    </xf>
    <xf numFmtId="0" fontId="53" fillId="7" borderId="4" xfId="16" applyFont="1" applyFill="1" applyBorder="1" applyAlignment="1">
      <alignment horizontal="center" vertical="center"/>
    </xf>
    <xf numFmtId="180" fontId="53" fillId="7" borderId="1" xfId="16" applyNumberFormat="1" applyFont="1" applyFill="1" applyBorder="1" applyAlignment="1">
      <alignment horizontal="center"/>
    </xf>
    <xf numFmtId="0" fontId="53" fillId="7" borderId="1" xfId="0" applyFont="1" applyFill="1" applyBorder="1" applyAlignment="1">
      <alignment wrapText="1"/>
    </xf>
    <xf numFmtId="171" fontId="52" fillId="0" borderId="1" xfId="0" applyNumberFormat="1" applyFont="1" applyFill="1" applyBorder="1" applyAlignment="1">
      <alignment horizontal="center" vertical="center"/>
    </xf>
    <xf numFmtId="169" fontId="53" fillId="7" borderId="1" xfId="0" applyNumberFormat="1" applyFont="1" applyFill="1" applyBorder="1" applyAlignment="1">
      <alignment horizontal="center"/>
    </xf>
    <xf numFmtId="49" fontId="52" fillId="7" borderId="1" xfId="0" applyNumberFormat="1" applyFont="1" applyFill="1" applyBorder="1" applyAlignment="1">
      <alignment wrapText="1"/>
    </xf>
    <xf numFmtId="1" fontId="52" fillId="7" borderId="1" xfId="0" applyNumberFormat="1" applyFont="1" applyFill="1" applyBorder="1" applyAlignment="1">
      <alignment horizontal="center"/>
    </xf>
    <xf numFmtId="169" fontId="52" fillId="7" borderId="1" xfId="0" applyNumberFormat="1" applyFont="1" applyFill="1" applyBorder="1" applyAlignment="1">
      <alignment horizontal="center"/>
    </xf>
    <xf numFmtId="9" fontId="52" fillId="7" borderId="1" xfId="0" applyNumberFormat="1" applyFont="1" applyFill="1" applyBorder="1" applyAlignment="1">
      <alignment horizontal="center"/>
    </xf>
    <xf numFmtId="0" fontId="53" fillId="7" borderId="1" xfId="16" applyFont="1" applyFill="1" applyBorder="1" applyAlignment="1">
      <alignment wrapText="1"/>
    </xf>
    <xf numFmtId="1" fontId="53" fillId="7" borderId="1" xfId="0" applyNumberFormat="1" applyFont="1" applyFill="1" applyBorder="1" applyAlignment="1">
      <alignment horizontal="center"/>
    </xf>
    <xf numFmtId="0" fontId="53" fillId="7" borderId="1" xfId="16" applyFont="1" applyFill="1" applyBorder="1" applyAlignment="1">
      <alignment horizontal="left" wrapText="1"/>
    </xf>
    <xf numFmtId="1" fontId="53" fillId="7" borderId="1" xfId="16" applyNumberFormat="1" applyFont="1" applyFill="1" applyBorder="1" applyAlignment="1">
      <alignment horizontal="center"/>
    </xf>
    <xf numFmtId="169" fontId="53" fillId="7" borderId="1" xfId="16" applyNumberFormat="1" applyFont="1" applyFill="1" applyBorder="1" applyAlignment="1">
      <alignment horizontal="center"/>
    </xf>
    <xf numFmtId="0" fontId="52" fillId="7" borderId="1" xfId="16" applyFont="1" applyFill="1" applyBorder="1"/>
    <xf numFmtId="49" fontId="53" fillId="0" borderId="1" xfId="0" applyNumberFormat="1" applyFont="1" applyFill="1" applyBorder="1" applyAlignment="1">
      <alignment wrapText="1"/>
    </xf>
    <xf numFmtId="1" fontId="53" fillId="0" borderId="1" xfId="0" applyNumberFormat="1" applyFont="1" applyFill="1" applyBorder="1" applyAlignment="1">
      <alignment horizontal="center"/>
    </xf>
    <xf numFmtId="169" fontId="53" fillId="0" borderId="1" xfId="0" applyNumberFormat="1" applyFont="1" applyFill="1" applyBorder="1" applyAlignment="1">
      <alignment horizontal="center"/>
    </xf>
    <xf numFmtId="49" fontId="53" fillId="0" borderId="0" xfId="0" applyNumberFormat="1" applyFont="1" applyFill="1" applyBorder="1" applyAlignment="1">
      <alignment wrapText="1"/>
    </xf>
    <xf numFmtId="0" fontId="53" fillId="0" borderId="0" xfId="0" applyFont="1" applyFill="1" applyBorder="1" applyAlignment="1">
      <alignment horizontal="center"/>
    </xf>
    <xf numFmtId="1" fontId="53" fillId="0" borderId="0" xfId="0" applyNumberFormat="1" applyFont="1" applyFill="1" applyBorder="1" applyAlignment="1">
      <alignment horizontal="center"/>
    </xf>
    <xf numFmtId="49" fontId="52" fillId="0" borderId="1" xfId="0" applyNumberFormat="1" applyFont="1" applyFill="1" applyBorder="1" applyAlignment="1">
      <alignment wrapText="1"/>
    </xf>
    <xf numFmtId="49" fontId="54" fillId="9" borderId="0" xfId="0" applyNumberFormat="1" applyFont="1" applyFill="1" applyBorder="1" applyAlignment="1">
      <alignment wrapText="1"/>
    </xf>
    <xf numFmtId="0" fontId="53" fillId="9" borderId="0" xfId="0" applyFont="1" applyFill="1" applyBorder="1" applyAlignment="1">
      <alignment horizontal="center"/>
    </xf>
    <xf numFmtId="1" fontId="53" fillId="9" borderId="0" xfId="0" applyNumberFormat="1" applyFont="1" applyFill="1" applyBorder="1" applyAlignment="1">
      <alignment horizontal="center"/>
    </xf>
    <xf numFmtId="0" fontId="0" fillId="9" borderId="0" xfId="0" applyFill="1"/>
    <xf numFmtId="2" fontId="53" fillId="7" borderId="1" xfId="0" applyNumberFormat="1" applyFont="1" applyFill="1" applyBorder="1" applyAlignment="1">
      <alignment horizontal="center"/>
    </xf>
    <xf numFmtId="0" fontId="55" fillId="7" borderId="1" xfId="0" applyFont="1" applyFill="1" applyBorder="1" applyAlignment="1">
      <alignment wrapText="1"/>
    </xf>
    <xf numFmtId="2" fontId="52" fillId="7" borderId="1" xfId="0" applyNumberFormat="1" applyFont="1" applyFill="1" applyBorder="1" applyAlignment="1">
      <alignment horizontal="center"/>
    </xf>
    <xf numFmtId="16" fontId="55" fillId="7" borderId="1" xfId="0" applyNumberFormat="1" applyFont="1" applyFill="1" applyBorder="1" applyAlignment="1">
      <alignment wrapText="1"/>
    </xf>
    <xf numFmtId="0" fontId="56" fillId="7" borderId="1" xfId="0" applyFont="1" applyFill="1" applyBorder="1" applyAlignment="1">
      <alignment wrapText="1"/>
    </xf>
    <xf numFmtId="10" fontId="52" fillId="7" borderId="1" xfId="0" applyNumberFormat="1" applyFont="1" applyFill="1" applyBorder="1" applyAlignment="1">
      <alignment horizontal="center"/>
    </xf>
    <xf numFmtId="0" fontId="56" fillId="9" borderId="1" xfId="0" applyFont="1" applyFill="1" applyBorder="1" applyAlignment="1">
      <alignment wrapText="1"/>
    </xf>
    <xf numFmtId="2" fontId="53" fillId="9" borderId="1" xfId="0" applyNumberFormat="1" applyFont="1" applyFill="1" applyBorder="1" applyAlignment="1">
      <alignment horizontal="center"/>
    </xf>
    <xf numFmtId="1" fontId="53" fillId="9" borderId="1" xfId="0" applyNumberFormat="1" applyFont="1" applyFill="1" applyBorder="1" applyAlignment="1">
      <alignment horizontal="center"/>
    </xf>
    <xf numFmtId="169" fontId="52" fillId="8" borderId="1" xfId="0" applyNumberFormat="1" applyFont="1" applyFill="1" applyBorder="1" applyAlignment="1">
      <alignment horizontal="center"/>
    </xf>
    <xf numFmtId="169" fontId="53" fillId="0" borderId="0" xfId="0" applyNumberFormat="1" applyFont="1" applyFill="1" applyBorder="1" applyAlignment="1">
      <alignment horizontal="center"/>
    </xf>
    <xf numFmtId="0" fontId="52" fillId="7" borderId="2" xfId="16" applyFont="1" applyFill="1" applyBorder="1" applyAlignment="1">
      <alignment horizontal="center"/>
    </xf>
    <xf numFmtId="0" fontId="31" fillId="0" borderId="34" xfId="0" applyFont="1" applyBorder="1" applyAlignment="1">
      <alignment horizontal="center" vertical="center"/>
    </xf>
    <xf numFmtId="0" fontId="57" fillId="7" borderId="35" xfId="16" applyFont="1" applyFill="1" applyBorder="1" applyAlignment="1">
      <alignment horizontal="left" vertical="center" wrapText="1"/>
    </xf>
    <xf numFmtId="169" fontId="53" fillId="0" borderId="35" xfId="0" applyNumberFormat="1" applyFont="1" applyFill="1" applyBorder="1" applyAlignment="1">
      <alignment horizontal="center"/>
    </xf>
    <xf numFmtId="0" fontId="31" fillId="0" borderId="54" xfId="0" applyFont="1" applyBorder="1" applyAlignment="1">
      <alignment horizontal="center" vertical="center"/>
    </xf>
    <xf numFmtId="0" fontId="57" fillId="7" borderId="1" xfId="16" applyFont="1" applyFill="1" applyBorder="1" applyAlignment="1">
      <alignment horizontal="left" vertical="center" wrapText="1"/>
    </xf>
    <xf numFmtId="0" fontId="58" fillId="0" borderId="1" xfId="0" applyFont="1" applyBorder="1" applyAlignment="1">
      <alignment horizontal="left"/>
    </xf>
    <xf numFmtId="9" fontId="59" fillId="0" borderId="1" xfId="5" applyFont="1" applyBorder="1" applyAlignment="1">
      <alignment horizontal="left"/>
    </xf>
    <xf numFmtId="171" fontId="52" fillId="0" borderId="56" xfId="0" applyNumberFormat="1" applyFont="1" applyFill="1" applyBorder="1" applyAlignment="1">
      <alignment horizontal="center" vertical="center"/>
    </xf>
    <xf numFmtId="9" fontId="52" fillId="7" borderId="56" xfId="0" applyNumberFormat="1" applyFont="1" applyFill="1" applyBorder="1" applyAlignment="1">
      <alignment horizontal="center"/>
    </xf>
    <xf numFmtId="169" fontId="53" fillId="0" borderId="56" xfId="0" applyNumberFormat="1" applyFont="1" applyFill="1" applyBorder="1" applyAlignment="1">
      <alignment horizontal="center"/>
    </xf>
    <xf numFmtId="49" fontId="52" fillId="0" borderId="30" xfId="0" applyNumberFormat="1" applyFont="1" applyFill="1" applyBorder="1" applyAlignment="1">
      <alignment wrapText="1"/>
    </xf>
    <xf numFmtId="171" fontId="52" fillId="0" borderId="30" xfId="0" applyNumberFormat="1" applyFont="1" applyFill="1" applyBorder="1" applyAlignment="1">
      <alignment horizontal="center" vertical="center"/>
    </xf>
    <xf numFmtId="1" fontId="53" fillId="0" borderId="30" xfId="0" applyNumberFormat="1" applyFont="1" applyFill="1" applyBorder="1" applyAlignment="1">
      <alignment horizontal="center"/>
    </xf>
    <xf numFmtId="169" fontId="53" fillId="0" borderId="30" xfId="0" applyNumberFormat="1" applyFont="1" applyFill="1" applyBorder="1" applyAlignment="1">
      <alignment horizontal="center"/>
    </xf>
    <xf numFmtId="169" fontId="53" fillId="0" borderId="33" xfId="0" applyNumberFormat="1" applyFont="1" applyFill="1" applyBorder="1" applyAlignment="1">
      <alignment horizontal="center"/>
    </xf>
    <xf numFmtId="171" fontId="52" fillId="0" borderId="35" xfId="0" applyNumberFormat="1" applyFont="1" applyFill="1" applyBorder="1" applyAlignment="1">
      <alignment horizontal="center" vertical="center"/>
    </xf>
    <xf numFmtId="0" fontId="31" fillId="0" borderId="55" xfId="0" applyFont="1" applyBorder="1" applyAlignment="1">
      <alignment horizontal="center" vertical="center"/>
    </xf>
    <xf numFmtId="0" fontId="51" fillId="7" borderId="0" xfId="16" applyFont="1" applyFill="1" applyBorder="1" applyAlignment="1">
      <alignment horizontal="left"/>
    </xf>
    <xf numFmtId="0" fontId="52" fillId="7" borderId="2" xfId="16" applyFont="1" applyFill="1" applyBorder="1" applyAlignment="1">
      <alignment horizontal="center" vertical="center"/>
    </xf>
    <xf numFmtId="0" fontId="52" fillId="7" borderId="1" xfId="16" applyFont="1" applyFill="1" applyBorder="1" applyAlignment="1">
      <alignment horizontal="center" vertical="center"/>
    </xf>
    <xf numFmtId="2" fontId="7" fillId="8" borderId="1" xfId="0" applyNumberFormat="1" applyFont="1" applyFill="1" applyBorder="1" applyAlignment="1">
      <alignment horizontal="center" vertical="center" wrapText="1"/>
    </xf>
    <xf numFmtId="2" fontId="6" fillId="8" borderId="1" xfId="0" applyNumberFormat="1" applyFont="1" applyFill="1" applyBorder="1" applyAlignment="1">
      <alignment horizontal="center" vertical="center"/>
    </xf>
    <xf numFmtId="169" fontId="52" fillId="7" borderId="4" xfId="0" applyNumberFormat="1" applyFont="1" applyFill="1" applyBorder="1" applyAlignment="1">
      <alignment horizontal="center"/>
    </xf>
    <xf numFmtId="169" fontId="53" fillId="0" borderId="37" xfId="0" applyNumberFormat="1" applyFont="1" applyFill="1" applyBorder="1" applyAlignment="1">
      <alignment horizontal="center"/>
    </xf>
    <xf numFmtId="9" fontId="59" fillId="0" borderId="56" xfId="5" applyFont="1" applyBorder="1" applyAlignment="1">
      <alignment horizontal="left"/>
    </xf>
    <xf numFmtId="0" fontId="0" fillId="0" borderId="56" xfId="0" applyBorder="1"/>
    <xf numFmtId="0" fontId="52" fillId="7" borderId="2" xfId="16" applyFont="1" applyFill="1" applyBorder="1" applyAlignment="1">
      <alignment horizontal="center" vertical="center"/>
    </xf>
    <xf numFmtId="0" fontId="31" fillId="0" borderId="55" xfId="0" applyFont="1" applyBorder="1" applyAlignment="1">
      <alignment horizontal="center" vertical="center"/>
    </xf>
    <xf numFmtId="0" fontId="52" fillId="7" borderId="1" xfId="16" applyFont="1" applyFill="1" applyBorder="1" applyAlignment="1">
      <alignment horizontal="center"/>
    </xf>
    <xf numFmtId="176" fontId="62" fillId="0" borderId="0" xfId="13" applyFont="1" applyFill="1" applyAlignment="1">
      <alignment horizontal="left"/>
    </xf>
    <xf numFmtId="176" fontId="62" fillId="0" borderId="0" xfId="13" applyFont="1" applyFill="1" applyAlignment="1">
      <alignment horizontal="center"/>
    </xf>
    <xf numFmtId="0" fontId="0" fillId="0" borderId="0" xfId="0" applyFill="1"/>
    <xf numFmtId="176" fontId="62" fillId="0" borderId="0" xfId="13" applyFont="1" applyFill="1"/>
    <xf numFmtId="0" fontId="32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181" fontId="51" fillId="0" borderId="0" xfId="0" applyNumberFormat="1" applyFont="1" applyFill="1" applyAlignment="1">
      <alignment vertical="top"/>
    </xf>
    <xf numFmtId="169" fontId="63" fillId="0" borderId="0" xfId="13" applyNumberFormat="1" applyFont="1" applyFill="1"/>
    <xf numFmtId="182" fontId="51" fillId="0" borderId="0" xfId="13" applyNumberFormat="1" applyFont="1" applyFill="1" applyAlignment="1">
      <alignment vertical="center"/>
    </xf>
    <xf numFmtId="182" fontId="64" fillId="0" borderId="0" xfId="13" applyNumberFormat="1" applyFont="1" applyFill="1" applyAlignment="1">
      <alignment vertical="center"/>
    </xf>
    <xf numFmtId="0" fontId="51" fillId="0" borderId="0" xfId="0" applyFont="1" applyFill="1" applyAlignment="1">
      <alignment horizontal="center" vertical="center"/>
    </xf>
    <xf numFmtId="182" fontId="51" fillId="0" borderId="5" xfId="17" applyNumberFormat="1" applyFont="1" applyFill="1" applyBorder="1" applyAlignment="1"/>
    <xf numFmtId="182" fontId="51" fillId="0" borderId="8" xfId="17" applyNumberFormat="1" applyFont="1" applyFill="1" applyBorder="1" applyAlignment="1"/>
    <xf numFmtId="182" fontId="51" fillId="0" borderId="1" xfId="0" applyNumberFormat="1" applyFont="1" applyFill="1" applyBorder="1" applyAlignment="1">
      <alignment horizontal="center" vertical="center" wrapText="1"/>
    </xf>
    <xf numFmtId="182" fontId="51" fillId="0" borderId="1" xfId="0" applyNumberFormat="1" applyFont="1" applyFill="1" applyBorder="1" applyAlignment="1">
      <alignment horizontal="center" vertical="center"/>
    </xf>
    <xf numFmtId="176" fontId="62" fillId="0" borderId="0" xfId="13" applyFont="1" applyFill="1" applyAlignment="1">
      <alignment vertical="center"/>
    </xf>
    <xf numFmtId="176" fontId="66" fillId="0" borderId="5" xfId="13" applyFont="1" applyFill="1" applyBorder="1" applyAlignment="1">
      <alignment horizontal="center" vertical="center"/>
    </xf>
    <xf numFmtId="176" fontId="66" fillId="0" borderId="8" xfId="13" applyFont="1" applyFill="1" applyBorder="1" applyAlignment="1">
      <alignment horizontal="center" vertical="center"/>
    </xf>
    <xf numFmtId="182" fontId="67" fillId="0" borderId="1" xfId="17" applyNumberFormat="1" applyFont="1" applyFill="1" applyBorder="1" applyAlignment="1">
      <alignment horizontal="center" vertical="center" wrapText="1"/>
    </xf>
    <xf numFmtId="0" fontId="64" fillId="0" borderId="7" xfId="0" applyFont="1" applyFill="1" applyBorder="1" applyAlignment="1">
      <alignment vertical="center"/>
    </xf>
    <xf numFmtId="0" fontId="64" fillId="0" borderId="11" xfId="0" applyFont="1" applyFill="1" applyBorder="1" applyAlignment="1">
      <alignment vertical="center" wrapText="1"/>
    </xf>
    <xf numFmtId="0" fontId="0" fillId="0" borderId="3" xfId="0" applyFill="1" applyBorder="1"/>
    <xf numFmtId="176" fontId="62" fillId="0" borderId="2" xfId="13" applyFont="1" applyFill="1" applyBorder="1"/>
    <xf numFmtId="176" fontId="62" fillId="0" borderId="3" xfId="13" applyFont="1" applyFill="1" applyBorder="1"/>
    <xf numFmtId="0" fontId="51" fillId="0" borderId="57" xfId="0" applyFont="1" applyFill="1" applyBorder="1" applyAlignment="1">
      <alignment vertical="top" wrapText="1"/>
    </xf>
    <xf numFmtId="0" fontId="51" fillId="0" borderId="58" xfId="0" applyFont="1" applyFill="1" applyBorder="1" applyAlignment="1">
      <alignment horizontal="left" vertical="top" wrapText="1" indent="1"/>
    </xf>
    <xf numFmtId="3" fontId="62" fillId="0" borderId="3" xfId="13" applyNumberFormat="1" applyFont="1" applyFill="1" applyBorder="1"/>
    <xf numFmtId="1" fontId="62" fillId="0" borderId="3" xfId="13" applyNumberFormat="1" applyFont="1" applyFill="1" applyBorder="1"/>
    <xf numFmtId="0" fontId="51" fillId="0" borderId="13" xfId="0" applyFont="1" applyFill="1" applyBorder="1" applyAlignment="1">
      <alignment horizontal="left" vertical="top" wrapText="1" indent="1"/>
    </xf>
    <xf numFmtId="0" fontId="51" fillId="0" borderId="0" xfId="0" applyFont="1" applyFill="1" applyBorder="1" applyAlignment="1">
      <alignment horizontal="left" vertical="top" wrapText="1" indent="1"/>
    </xf>
    <xf numFmtId="183" fontId="51" fillId="0" borderId="3" xfId="17" applyNumberFormat="1" applyFont="1" applyFill="1" applyBorder="1" applyAlignment="1">
      <alignment horizontal="center"/>
    </xf>
    <xf numFmtId="1" fontId="62" fillId="0" borderId="3" xfId="13" applyNumberFormat="1" applyFont="1" applyFill="1" applyBorder="1" applyAlignment="1">
      <alignment horizontal="center" wrapText="1"/>
    </xf>
    <xf numFmtId="1" fontId="62" fillId="0" borderId="3" xfId="13" applyNumberFormat="1" applyFont="1" applyFill="1" applyBorder="1" applyAlignment="1">
      <alignment horizontal="center" vertical="center"/>
    </xf>
    <xf numFmtId="1" fontId="62" fillId="0" borderId="3" xfId="13" applyNumberFormat="1" applyFont="1" applyFill="1" applyBorder="1" applyAlignment="1">
      <alignment horizontal="right" vertical="center"/>
    </xf>
    <xf numFmtId="0" fontId="51" fillId="0" borderId="59" xfId="0" applyFont="1" applyFill="1" applyBorder="1" applyAlignment="1">
      <alignment horizontal="left" vertical="top" wrapText="1" indent="1"/>
    </xf>
    <xf numFmtId="0" fontId="51" fillId="0" borderId="60" xfId="0" applyFont="1" applyFill="1" applyBorder="1" applyAlignment="1">
      <alignment horizontal="left" vertical="top" wrapText="1" indent="1"/>
    </xf>
    <xf numFmtId="183" fontId="51" fillId="0" borderId="52" xfId="17" applyNumberFormat="1" applyFont="1" applyFill="1" applyBorder="1" applyAlignment="1">
      <alignment horizontal="center"/>
    </xf>
    <xf numFmtId="3" fontId="62" fillId="0" borderId="52" xfId="13" applyNumberFormat="1" applyFont="1" applyFill="1" applyBorder="1"/>
    <xf numFmtId="1" fontId="62" fillId="0" borderId="52" xfId="13" applyNumberFormat="1" applyFont="1" applyFill="1" applyBorder="1"/>
    <xf numFmtId="3" fontId="62" fillId="0" borderId="61" xfId="13" applyNumberFormat="1" applyFont="1" applyFill="1" applyBorder="1" applyAlignment="1">
      <alignment horizontal="center" vertical="center"/>
    </xf>
    <xf numFmtId="0" fontId="51" fillId="0" borderId="62" xfId="0" applyFont="1" applyFill="1" applyBorder="1" applyAlignment="1">
      <alignment horizontal="left" vertical="top" wrapText="1" indent="1"/>
    </xf>
    <xf numFmtId="0" fontId="51" fillId="0" borderId="64" xfId="0" applyFont="1" applyFill="1" applyBorder="1" applyAlignment="1">
      <alignment horizontal="left" vertical="top" wrapText="1" indent="1"/>
    </xf>
    <xf numFmtId="0" fontId="51" fillId="0" borderId="65" xfId="0" applyFont="1" applyFill="1" applyBorder="1" applyAlignment="1">
      <alignment horizontal="left" vertical="top" wrapText="1" indent="1"/>
    </xf>
    <xf numFmtId="0" fontId="51" fillId="0" borderId="0" xfId="0" applyFont="1" applyFill="1" applyBorder="1" applyAlignment="1">
      <alignment horizontal="center" vertical="center"/>
    </xf>
    <xf numFmtId="0" fontId="64" fillId="0" borderId="57" xfId="0" applyFont="1" applyFill="1" applyBorder="1" applyAlignment="1">
      <alignment vertical="center"/>
    </xf>
    <xf numFmtId="0" fontId="64" fillId="0" borderId="58" xfId="0" applyFont="1" applyFill="1" applyBorder="1" applyAlignment="1">
      <alignment vertical="center" wrapText="1"/>
    </xf>
    <xf numFmtId="0" fontId="51" fillId="0" borderId="13" xfId="0" applyFont="1" applyFill="1" applyBorder="1" applyAlignment="1">
      <alignment vertical="top" wrapText="1"/>
    </xf>
    <xf numFmtId="0" fontId="51" fillId="0" borderId="14" xfId="0" applyFont="1" applyFill="1" applyBorder="1" applyAlignment="1">
      <alignment horizontal="left" vertical="top" wrapText="1" indent="1"/>
    </xf>
    <xf numFmtId="176" fontId="62" fillId="0" borderId="13" xfId="13" applyFont="1" applyFill="1" applyBorder="1"/>
    <xf numFmtId="176" fontId="62" fillId="0" borderId="0" xfId="13" applyFont="1" applyFill="1" applyBorder="1"/>
    <xf numFmtId="176" fontId="68" fillId="0" borderId="13" xfId="13" applyFont="1" applyFill="1" applyBorder="1"/>
    <xf numFmtId="176" fontId="68" fillId="0" borderId="0" xfId="13" applyFont="1" applyFill="1" applyBorder="1"/>
    <xf numFmtId="176" fontId="68" fillId="0" borderId="3" xfId="13" applyFont="1" applyFill="1" applyBorder="1"/>
    <xf numFmtId="3" fontId="69" fillId="0" borderId="3" xfId="13" applyNumberFormat="1" applyFont="1" applyFill="1" applyBorder="1"/>
    <xf numFmtId="3" fontId="62" fillId="0" borderId="13" xfId="13" applyNumberFormat="1" applyFont="1" applyFill="1" applyBorder="1" applyAlignment="1">
      <alignment horizontal="center" vertical="center"/>
    </xf>
    <xf numFmtId="169" fontId="62" fillId="0" borderId="0" xfId="13" applyNumberFormat="1" applyFont="1" applyFill="1"/>
    <xf numFmtId="176" fontId="68" fillId="0" borderId="10" xfId="13" applyFont="1" applyFill="1" applyBorder="1"/>
    <xf numFmtId="176" fontId="68" fillId="0" borderId="12" xfId="13" applyFont="1" applyFill="1" applyBorder="1"/>
    <xf numFmtId="0" fontId="0" fillId="0" borderId="4" xfId="0" applyFill="1" applyBorder="1"/>
    <xf numFmtId="176" fontId="68" fillId="0" borderId="4" xfId="13" applyFont="1" applyFill="1" applyBorder="1"/>
    <xf numFmtId="171" fontId="68" fillId="0" borderId="4" xfId="13" applyNumberFormat="1" applyFont="1" applyFill="1" applyBorder="1"/>
    <xf numFmtId="171" fontId="47" fillId="0" borderId="4" xfId="13" applyNumberFormat="1" applyFont="1" applyFill="1" applyBorder="1"/>
    <xf numFmtId="169" fontId="62" fillId="0" borderId="0" xfId="13" applyNumberFormat="1" applyFont="1" applyFill="1" applyAlignment="1">
      <alignment horizontal="center"/>
    </xf>
    <xf numFmtId="0" fontId="70" fillId="0" borderId="0" xfId="0" applyFont="1" applyFill="1" applyBorder="1" applyAlignment="1">
      <alignment vertical="center"/>
    </xf>
    <xf numFmtId="176" fontId="71" fillId="0" borderId="0" xfId="13" applyFont="1" applyFill="1" applyAlignment="1">
      <alignment horizontal="center" vertical="center"/>
    </xf>
    <xf numFmtId="176" fontId="71" fillId="0" borderId="0" xfId="13" applyFont="1" applyFill="1"/>
    <xf numFmtId="1" fontId="71" fillId="0" borderId="0" xfId="13" applyNumberFormat="1" applyFont="1" applyFill="1"/>
    <xf numFmtId="1" fontId="62" fillId="0" borderId="0" xfId="13" applyNumberFormat="1" applyFont="1" applyFill="1"/>
    <xf numFmtId="1" fontId="72" fillId="0" borderId="0" xfId="13" applyNumberFormat="1" applyFont="1" applyFill="1" applyBorder="1" applyAlignment="1">
      <alignment horizontal="center" wrapText="1"/>
    </xf>
    <xf numFmtId="3" fontId="73" fillId="0" borderId="0" xfId="13" applyNumberFormat="1" applyFont="1" applyFill="1"/>
    <xf numFmtId="176" fontId="74" fillId="0" borderId="0" xfId="13" applyFont="1" applyFill="1" applyAlignment="1">
      <alignment horizontal="center" vertical="center"/>
    </xf>
    <xf numFmtId="1" fontId="74" fillId="0" borderId="0" xfId="13" applyNumberFormat="1" applyFont="1" applyFill="1"/>
    <xf numFmtId="1" fontId="68" fillId="0" borderId="0" xfId="13" applyNumberFormat="1" applyFont="1" applyFill="1"/>
    <xf numFmtId="1" fontId="75" fillId="0" borderId="0" xfId="13" applyNumberFormat="1" applyFont="1" applyFill="1"/>
    <xf numFmtId="176" fontId="74" fillId="0" borderId="0" xfId="13" applyFont="1" applyFill="1"/>
    <xf numFmtId="1" fontId="74" fillId="0" borderId="0" xfId="13" applyNumberFormat="1" applyFont="1" applyFill="1" applyBorder="1" applyAlignment="1">
      <alignment horizontal="center" wrapText="1"/>
    </xf>
    <xf numFmtId="168" fontId="62" fillId="0" borderId="0" xfId="13" applyNumberFormat="1" applyFont="1" applyFill="1"/>
    <xf numFmtId="0" fontId="51" fillId="0" borderId="63" xfId="0" applyFont="1" applyFill="1" applyBorder="1" applyAlignment="1">
      <alignment vertical="top" wrapText="1"/>
    </xf>
    <xf numFmtId="0" fontId="51" fillId="0" borderId="66" xfId="0" applyFont="1" applyFill="1" applyBorder="1" applyAlignment="1">
      <alignment horizontal="left" vertical="top" wrapText="1" indent="1"/>
    </xf>
    <xf numFmtId="0" fontId="51" fillId="0" borderId="68" xfId="0" applyFont="1" applyFill="1" applyBorder="1" applyAlignment="1">
      <alignment horizontal="left" vertical="top" wrapText="1" indent="1"/>
    </xf>
    <xf numFmtId="0" fontId="51" fillId="0" borderId="69" xfId="0" applyFont="1" applyFill="1" applyBorder="1" applyAlignment="1">
      <alignment horizontal="left" vertical="top" wrapText="1" indent="1"/>
    </xf>
    <xf numFmtId="0" fontId="51" fillId="0" borderId="67" xfId="0" applyFont="1" applyFill="1" applyBorder="1" applyAlignment="1">
      <alignment vertical="top" wrapText="1"/>
    </xf>
    <xf numFmtId="0" fontId="51" fillId="0" borderId="70" xfId="0" applyFont="1" applyFill="1" applyBorder="1" applyAlignment="1">
      <alignment horizontal="left" vertical="top" wrapText="1" indent="1"/>
    </xf>
    <xf numFmtId="0" fontId="51" fillId="0" borderId="71" xfId="0" applyFont="1" applyFill="1" applyBorder="1" applyAlignment="1">
      <alignment vertical="top" wrapText="1"/>
    </xf>
    <xf numFmtId="0" fontId="51" fillId="0" borderId="72" xfId="0" applyFont="1" applyFill="1" applyBorder="1" applyAlignment="1">
      <alignment horizontal="left" vertical="top" wrapText="1" indent="1"/>
    </xf>
    <xf numFmtId="0" fontId="51" fillId="0" borderId="73" xfId="0" applyFont="1" applyFill="1" applyBorder="1" applyAlignment="1">
      <alignment horizontal="left" vertical="top" wrapText="1" indent="1"/>
    </xf>
    <xf numFmtId="3" fontId="47" fillId="0" borderId="4" xfId="13" applyNumberFormat="1" applyFont="1" applyFill="1" applyBorder="1"/>
    <xf numFmtId="1" fontId="71" fillId="0" borderId="0" xfId="13" applyNumberFormat="1" applyFont="1" applyFill="1" applyBorder="1" applyAlignment="1">
      <alignment horizontal="center" wrapText="1"/>
    </xf>
    <xf numFmtId="0" fontId="76" fillId="0" borderId="0" xfId="0" applyFont="1" applyFill="1" applyBorder="1" applyAlignment="1">
      <alignment vertical="center"/>
    </xf>
    <xf numFmtId="176" fontId="77" fillId="0" borderId="0" xfId="13" applyFont="1" applyFill="1" applyAlignment="1">
      <alignment horizontal="center" vertical="center"/>
    </xf>
    <xf numFmtId="176" fontId="77" fillId="0" borderId="0" xfId="13" applyFont="1" applyFill="1"/>
    <xf numFmtId="1" fontId="77" fillId="0" borderId="0" xfId="13" applyNumberFormat="1" applyFont="1" applyFill="1"/>
    <xf numFmtId="1" fontId="77" fillId="0" borderId="0" xfId="13" applyNumberFormat="1" applyFont="1" applyFill="1" applyBorder="1" applyAlignment="1">
      <alignment horizontal="center" wrapText="1"/>
    </xf>
    <xf numFmtId="1" fontId="62" fillId="0" borderId="0" xfId="13" applyNumberFormat="1" applyFont="1" applyFill="1" applyAlignment="1">
      <alignment horizontal="center"/>
    </xf>
    <xf numFmtId="176" fontId="74" fillId="0" borderId="0" xfId="13" applyFont="1" applyFill="1" applyAlignment="1">
      <alignment horizontal="left" vertical="center"/>
    </xf>
    <xf numFmtId="3" fontId="74" fillId="0" borderId="0" xfId="13" applyNumberFormat="1" applyFont="1" applyFill="1" applyBorder="1"/>
    <xf numFmtId="184" fontId="62" fillId="0" borderId="0" xfId="13" applyNumberFormat="1" applyFont="1" applyFill="1"/>
    <xf numFmtId="1" fontId="74" fillId="0" borderId="0" xfId="13" applyNumberFormat="1" applyFont="1" applyFill="1" applyAlignment="1"/>
    <xf numFmtId="3" fontId="62" fillId="0" borderId="0" xfId="13" applyNumberFormat="1" applyFont="1" applyFill="1" applyBorder="1"/>
    <xf numFmtId="176" fontId="62" fillId="0" borderId="0" xfId="13" applyFont="1" applyFill="1" applyAlignment="1">
      <alignment horizontal="left" vertical="center"/>
    </xf>
    <xf numFmtId="176" fontId="74" fillId="0" borderId="0" xfId="13" applyFont="1" applyFill="1" applyAlignment="1">
      <alignment horizontal="left"/>
    </xf>
    <xf numFmtId="168" fontId="51" fillId="0" borderId="1" xfId="3" applyNumberFormat="1" applyFont="1" applyFill="1" applyBorder="1" applyAlignment="1">
      <alignment horizontal="center" vertical="center" wrapText="1"/>
    </xf>
    <xf numFmtId="0" fontId="67" fillId="0" borderId="1" xfId="18" applyFont="1" applyFill="1" applyBorder="1" applyAlignment="1">
      <alignment horizontal="center" vertical="top" wrapText="1"/>
    </xf>
    <xf numFmtId="0" fontId="51" fillId="0" borderId="2" xfId="18" applyFont="1" applyFill="1" applyBorder="1" applyAlignment="1">
      <alignment horizontal="center" vertical="top" wrapText="1"/>
    </xf>
    <xf numFmtId="0" fontId="64" fillId="0" borderId="0" xfId="0" applyFont="1" applyFill="1" applyBorder="1" applyAlignment="1">
      <alignment horizontal="left"/>
    </xf>
    <xf numFmtId="185" fontId="51" fillId="0" borderId="2" xfId="3" applyNumberFormat="1" applyFont="1" applyFill="1" applyBorder="1" applyAlignment="1">
      <alignment horizontal="center" wrapText="1"/>
    </xf>
    <xf numFmtId="4" fontId="51" fillId="0" borderId="2" xfId="18" applyNumberFormat="1" applyFont="1" applyFill="1" applyBorder="1" applyAlignment="1">
      <alignment horizontal="center"/>
    </xf>
    <xf numFmtId="0" fontId="51" fillId="0" borderId="3" xfId="18" applyFont="1" applyFill="1" applyBorder="1" applyAlignment="1">
      <alignment horizontal="center" vertical="top" wrapText="1"/>
    </xf>
    <xf numFmtId="0" fontId="51" fillId="0" borderId="0" xfId="18" applyFont="1" applyFill="1" applyAlignment="1">
      <alignment vertical="top" wrapText="1"/>
    </xf>
    <xf numFmtId="186" fontId="51" fillId="0" borderId="3" xfId="3" applyNumberFormat="1" applyFont="1" applyFill="1" applyBorder="1" applyAlignment="1">
      <alignment horizontal="center" wrapText="1"/>
    </xf>
    <xf numFmtId="171" fontId="51" fillId="0" borderId="3" xfId="18" applyNumberFormat="1" applyFont="1" applyFill="1" applyBorder="1" applyAlignment="1">
      <alignment horizontal="center"/>
    </xf>
    <xf numFmtId="0" fontId="64" fillId="0" borderId="0" xfId="18" applyFont="1" applyFill="1"/>
    <xf numFmtId="186" fontId="64" fillId="0" borderId="3" xfId="3" applyNumberFormat="1" applyFont="1" applyFill="1" applyBorder="1" applyAlignment="1">
      <alignment horizontal="center" wrapText="1"/>
    </xf>
    <xf numFmtId="0" fontId="64" fillId="0" borderId="0" xfId="0" applyFont="1" applyFill="1" applyBorder="1" applyAlignment="1">
      <alignment horizontal="left" wrapText="1"/>
    </xf>
    <xf numFmtId="185" fontId="51" fillId="0" borderId="3" xfId="3" applyNumberFormat="1" applyFont="1" applyFill="1" applyBorder="1" applyAlignment="1">
      <alignment horizontal="center" wrapText="1"/>
    </xf>
    <xf numFmtId="185" fontId="64" fillId="0" borderId="3" xfId="3" applyNumberFormat="1" applyFont="1" applyFill="1" applyBorder="1" applyAlignment="1">
      <alignment horizontal="center" wrapText="1"/>
    </xf>
    <xf numFmtId="0" fontId="67" fillId="0" borderId="3" xfId="18" applyFont="1" applyFill="1" applyBorder="1" applyAlignment="1">
      <alignment horizontal="center" vertical="top" wrapText="1"/>
    </xf>
    <xf numFmtId="0" fontId="64" fillId="0" borderId="0" xfId="18" applyFont="1" applyFill="1" applyAlignment="1">
      <alignment vertical="top" wrapText="1"/>
    </xf>
    <xf numFmtId="0" fontId="51" fillId="0" borderId="3" xfId="18" applyFont="1" applyFill="1" applyBorder="1" applyAlignment="1">
      <alignment horizontal="center"/>
    </xf>
    <xf numFmtId="168" fontId="67" fillId="0" borderId="3" xfId="3" applyNumberFormat="1" applyFont="1" applyFill="1" applyBorder="1" applyAlignment="1">
      <alignment horizontal="right" vertical="top"/>
    </xf>
    <xf numFmtId="175" fontId="51" fillId="0" borderId="3" xfId="3" applyNumberFormat="1" applyFont="1" applyFill="1" applyBorder="1" applyAlignment="1">
      <alignment horizontal="right" vertical="top"/>
    </xf>
    <xf numFmtId="0" fontId="67" fillId="0" borderId="4" xfId="18" applyFont="1" applyFill="1" applyBorder="1" applyAlignment="1">
      <alignment horizontal="center" vertical="top" wrapText="1"/>
    </xf>
    <xf numFmtId="0" fontId="64" fillId="0" borderId="12" xfId="18" applyFont="1" applyFill="1" applyBorder="1" applyAlignment="1">
      <alignment vertical="top" wrapText="1"/>
    </xf>
    <xf numFmtId="175" fontId="64" fillId="0" borderId="4" xfId="3" applyNumberFormat="1" applyFont="1" applyFill="1" applyBorder="1" applyAlignment="1">
      <alignment horizontal="center" vertical="top" wrapText="1"/>
    </xf>
    <xf numFmtId="0" fontId="78" fillId="6" borderId="0" xfId="0" applyFont="1" applyFill="1"/>
    <xf numFmtId="169" fontId="0" fillId="0" borderId="1" xfId="0" applyNumberFormat="1" applyBorder="1"/>
    <xf numFmtId="0" fontId="0" fillId="0" borderId="1" xfId="0" applyFont="1" applyBorder="1"/>
    <xf numFmtId="169" fontId="0" fillId="0" borderId="1" xfId="0" applyNumberFormat="1" applyFont="1" applyBorder="1"/>
    <xf numFmtId="9" fontId="32" fillId="0" borderId="1" xfId="0" applyNumberFormat="1" applyFont="1" applyFill="1" applyBorder="1" applyAlignment="1">
      <alignment horizontal="center" vertical="center"/>
    </xf>
    <xf numFmtId="9" fontId="32" fillId="8" borderId="1" xfId="0" applyNumberFormat="1" applyFont="1" applyFill="1" applyBorder="1" applyAlignment="1">
      <alignment horizontal="center" vertical="center"/>
    </xf>
    <xf numFmtId="3" fontId="9" fillId="6" borderId="1" xfId="0" applyNumberFormat="1" applyFont="1" applyFill="1" applyBorder="1" applyAlignment="1">
      <alignment horizontal="center" vertical="center" wrapText="1"/>
    </xf>
    <xf numFmtId="3" fontId="9" fillId="6" borderId="1" xfId="0" applyNumberFormat="1" applyFont="1" applyFill="1" applyBorder="1" applyAlignment="1">
      <alignment horizontal="center" vertical="center"/>
    </xf>
    <xf numFmtId="169" fontId="35" fillId="0" borderId="1" xfId="1" applyNumberFormat="1" applyFont="1" applyFill="1" applyBorder="1" applyAlignment="1">
      <alignment horizontal="center"/>
    </xf>
    <xf numFmtId="0" fontId="32" fillId="0" borderId="1" xfId="6" applyFont="1" applyFill="1" applyBorder="1" applyAlignment="1">
      <alignment horizontal="center"/>
    </xf>
    <xf numFmtId="2" fontId="32" fillId="8" borderId="1" xfId="6" applyNumberFormat="1" applyFont="1" applyFill="1" applyBorder="1" applyAlignment="1">
      <alignment horizontal="center" vertical="center" wrapText="1"/>
    </xf>
    <xf numFmtId="9" fontId="59" fillId="0" borderId="1" xfId="5" applyNumberFormat="1" applyFont="1" applyBorder="1" applyAlignment="1">
      <alignment horizontal="left"/>
    </xf>
    <xf numFmtId="0" fontId="32" fillId="8" borderId="1" xfId="0" applyFont="1" applyFill="1" applyBorder="1" applyAlignment="1">
      <alignment horizontal="center" vertical="top" wrapText="1"/>
    </xf>
    <xf numFmtId="171" fontId="32" fillId="8" borderId="1" xfId="6" applyNumberFormat="1" applyFont="1" applyFill="1" applyBorder="1" applyAlignment="1">
      <alignment horizontal="center" vertical="center" wrapText="1"/>
    </xf>
    <xf numFmtId="169" fontId="35" fillId="0" borderId="0" xfId="6" applyNumberFormat="1" applyFont="1" applyFill="1" applyAlignment="1">
      <alignment vertical="center"/>
    </xf>
    <xf numFmtId="0" fontId="32" fillId="0" borderId="0" xfId="6" applyFont="1" applyFill="1" applyAlignment="1">
      <alignment vertical="center"/>
    </xf>
    <xf numFmtId="0" fontId="35" fillId="0" borderId="1" xfId="0" applyFont="1" applyFill="1" applyBorder="1" applyAlignment="1">
      <alignment horizontal="left" vertical="top" wrapText="1"/>
    </xf>
    <xf numFmtId="0" fontId="32" fillId="0" borderId="1" xfId="0" applyFont="1" applyFill="1" applyBorder="1" applyAlignment="1">
      <alignment horizontal="left" vertical="top" wrapText="1" indent="2"/>
    </xf>
    <xf numFmtId="0" fontId="35" fillId="0" borderId="41" xfId="0" applyFont="1" applyFill="1" applyBorder="1" applyAlignment="1">
      <alignment horizontal="center" vertical="top" wrapText="1"/>
    </xf>
    <xf numFmtId="0" fontId="35" fillId="0" borderId="1" xfId="6" applyFont="1" applyFill="1" applyBorder="1" applyAlignment="1">
      <alignment horizontal="center"/>
    </xf>
    <xf numFmtId="0" fontId="35" fillId="0" borderId="1" xfId="6" applyFont="1" applyFill="1" applyBorder="1" applyAlignment="1">
      <alignment horizontal="center" vertical="center" wrapText="1"/>
    </xf>
    <xf numFmtId="0" fontId="36" fillId="0" borderId="1" xfId="6" applyFont="1" applyFill="1" applyBorder="1"/>
    <xf numFmtId="0" fontId="36" fillId="0" borderId="1" xfId="1" applyFont="1" applyFill="1" applyBorder="1" applyAlignment="1">
      <alignment horizontal="left" vertical="center" wrapText="1"/>
    </xf>
    <xf numFmtId="0" fontId="36" fillId="0" borderId="2" xfId="1" applyFont="1" applyFill="1" applyBorder="1" applyAlignment="1">
      <alignment horizontal="left" vertical="center" wrapText="1"/>
    </xf>
    <xf numFmtId="0" fontId="35" fillId="0" borderId="1" xfId="7" applyFont="1" applyFill="1" applyBorder="1" applyAlignment="1">
      <alignment vertical="center" wrapText="1"/>
    </xf>
    <xf numFmtId="0" fontId="32" fillId="0" borderId="1" xfId="7" applyFont="1" applyFill="1" applyBorder="1" applyAlignment="1">
      <alignment vertical="center" wrapText="1"/>
    </xf>
    <xf numFmtId="0" fontId="78" fillId="0" borderId="0" xfId="0" applyFont="1" applyFill="1"/>
    <xf numFmtId="0" fontId="32" fillId="0" borderId="1" xfId="6" applyFont="1" applyFill="1" applyBorder="1" applyAlignment="1">
      <alignment horizontal="left" vertical="center" wrapText="1"/>
    </xf>
    <xf numFmtId="0" fontId="32" fillId="0" borderId="5" xfId="6" applyFont="1" applyFill="1" applyBorder="1" applyAlignment="1">
      <alignment horizontal="center" vertical="center" wrapText="1"/>
    </xf>
    <xf numFmtId="0" fontId="32" fillId="0" borderId="2" xfId="6" applyFont="1" applyFill="1" applyBorder="1" applyAlignment="1">
      <alignment horizontal="left" vertical="center" wrapText="1"/>
    </xf>
    <xf numFmtId="0" fontId="32" fillId="0" borderId="0" xfId="6" applyFont="1" applyFill="1" applyBorder="1" applyAlignment="1">
      <alignment horizontal="center" vertical="center" wrapText="1"/>
    </xf>
    <xf numFmtId="10" fontId="32" fillId="0" borderId="1" xfId="6" applyNumberFormat="1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left" wrapText="1"/>
    </xf>
    <xf numFmtId="0" fontId="32" fillId="0" borderId="45" xfId="0" applyFont="1" applyFill="1" applyBorder="1" applyAlignment="1">
      <alignment horizontal="left" wrapText="1"/>
    </xf>
    <xf numFmtId="0" fontId="32" fillId="0" borderId="42" xfId="0" applyFont="1" applyFill="1" applyBorder="1" applyAlignment="1">
      <alignment horizontal="left" wrapText="1"/>
    </xf>
    <xf numFmtId="0" fontId="32" fillId="0" borderId="41" xfId="0" applyFont="1" applyFill="1" applyBorder="1" applyAlignment="1">
      <alignment horizontal="left" wrapText="1"/>
    </xf>
    <xf numFmtId="0" fontId="35" fillId="0" borderId="4" xfId="6" applyFont="1" applyFill="1" applyBorder="1" applyAlignment="1">
      <alignment horizontal="left" vertical="center" wrapText="1"/>
    </xf>
    <xf numFmtId="0" fontId="32" fillId="0" borderId="46" xfId="0" applyFont="1" applyFill="1" applyBorder="1" applyAlignment="1">
      <alignment horizontal="center" vertical="center"/>
    </xf>
    <xf numFmtId="0" fontId="32" fillId="8" borderId="1" xfId="6" applyFont="1" applyFill="1" applyBorder="1" applyAlignment="1">
      <alignment horizontal="center" vertical="center" wrapText="1"/>
    </xf>
    <xf numFmtId="171" fontId="35" fillId="8" borderId="1" xfId="6" applyNumberFormat="1" applyFont="1" applyFill="1" applyBorder="1" applyAlignment="1">
      <alignment horizontal="center" vertical="center" wrapText="1"/>
    </xf>
    <xf numFmtId="0" fontId="32" fillId="8" borderId="41" xfId="0" applyFont="1" applyFill="1" applyBorder="1" applyAlignment="1">
      <alignment horizontal="left" vertical="top" wrapText="1" indent="2"/>
    </xf>
    <xf numFmtId="0" fontId="9" fillId="0" borderId="8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 indent="2"/>
    </xf>
    <xf numFmtId="0" fontId="3" fillId="0" borderId="0" xfId="0" applyFont="1" applyAlignment="1">
      <alignment horizont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2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7" fillId="8" borderId="5" xfId="0" applyFont="1" applyFill="1" applyBorder="1" applyAlignment="1">
      <alignment horizontal="left" vertical="top" wrapText="1"/>
    </xf>
    <xf numFmtId="0" fontId="7" fillId="8" borderId="8" xfId="0" applyFont="1" applyFill="1" applyBorder="1" applyAlignment="1">
      <alignment horizontal="left" vertical="top" wrapText="1"/>
    </xf>
    <xf numFmtId="0" fontId="7" fillId="8" borderId="6" xfId="0" applyFont="1" applyFill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 indent="3"/>
    </xf>
    <xf numFmtId="0" fontId="9" fillId="0" borderId="8" xfId="0" applyFont="1" applyBorder="1" applyAlignment="1">
      <alignment horizontal="left" vertical="top" wrapText="1" indent="3"/>
    </xf>
    <xf numFmtId="0" fontId="9" fillId="0" borderId="6" xfId="0" applyFont="1" applyBorder="1" applyAlignment="1">
      <alignment horizontal="left" vertical="top" wrapText="1" indent="3"/>
    </xf>
    <xf numFmtId="0" fontId="20" fillId="0" borderId="5" xfId="0" applyFont="1" applyFill="1" applyBorder="1" applyAlignment="1">
      <alignment horizontal="left" vertical="top" wrapText="1" indent="3"/>
    </xf>
    <xf numFmtId="0" fontId="20" fillId="0" borderId="8" xfId="0" applyFont="1" applyFill="1" applyBorder="1" applyAlignment="1">
      <alignment horizontal="left" vertical="top" wrapText="1" indent="3"/>
    </xf>
    <xf numFmtId="0" fontId="20" fillId="0" borderId="6" xfId="0" applyFont="1" applyFill="1" applyBorder="1" applyAlignment="1">
      <alignment horizontal="left" vertical="top" wrapText="1" indent="3"/>
    </xf>
    <xf numFmtId="0" fontId="9" fillId="0" borderId="5" xfId="0" applyFont="1" applyBorder="1" applyAlignment="1">
      <alignment horizontal="left" vertical="top" wrapText="1"/>
    </xf>
    <xf numFmtId="0" fontId="11" fillId="0" borderId="0" xfId="0" applyFont="1" applyAlignment="1">
      <alignment horizontal="center"/>
    </xf>
    <xf numFmtId="0" fontId="2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19" fillId="0" borderId="8" xfId="0" applyFont="1" applyBorder="1" applyAlignment="1">
      <alignment horizontal="center"/>
    </xf>
    <xf numFmtId="0" fontId="9" fillId="0" borderId="10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21" xfId="0" applyFont="1" applyBorder="1" applyAlignment="1">
      <alignment horizontal="center" vertical="top"/>
    </xf>
    <xf numFmtId="0" fontId="15" fillId="0" borderId="1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165" fontId="15" fillId="0" borderId="1" xfId="2" applyNumberFormat="1" applyFont="1" applyBorder="1" applyAlignment="1">
      <alignment horizontal="left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32" fillId="0" borderId="1" xfId="6" applyFont="1" applyFill="1" applyBorder="1" applyAlignment="1">
      <alignment horizontal="center" vertical="center" wrapText="1"/>
    </xf>
    <xf numFmtId="0" fontId="32" fillId="0" borderId="2" xfId="6" applyFont="1" applyFill="1" applyBorder="1" applyAlignment="1">
      <alignment horizontal="center" vertical="center" wrapText="1"/>
    </xf>
    <xf numFmtId="0" fontId="32" fillId="0" borderId="4" xfId="6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left" vertical="center" wrapText="1"/>
    </xf>
    <xf numFmtId="0" fontId="35" fillId="0" borderId="7" xfId="6" applyFont="1" applyFill="1" applyBorder="1" applyAlignment="1">
      <alignment horizontal="center" vertical="center"/>
    </xf>
    <xf numFmtId="0" fontId="35" fillId="0" borderId="10" xfId="6" applyFont="1" applyFill="1" applyBorder="1" applyAlignment="1">
      <alignment horizontal="center" vertical="center"/>
    </xf>
    <xf numFmtId="0" fontId="35" fillId="0" borderId="2" xfId="6" applyFont="1" applyFill="1" applyBorder="1" applyAlignment="1">
      <alignment horizontal="left" vertical="center"/>
    </xf>
    <xf numFmtId="0" fontId="35" fillId="0" borderId="4" xfId="6" applyFont="1" applyFill="1" applyBorder="1" applyAlignment="1">
      <alignment horizontal="left" vertical="center"/>
    </xf>
    <xf numFmtId="0" fontId="36" fillId="0" borderId="2" xfId="6" applyFont="1" applyFill="1" applyBorder="1" applyAlignment="1">
      <alignment horizontal="left" vertical="center" wrapText="1"/>
    </xf>
    <xf numFmtId="0" fontId="36" fillId="0" borderId="4" xfId="6" applyFont="1" applyFill="1" applyBorder="1" applyAlignment="1">
      <alignment horizontal="left" vertical="center" wrapText="1"/>
    </xf>
    <xf numFmtId="49" fontId="32" fillId="0" borderId="1" xfId="0" applyNumberFormat="1" applyFont="1" applyFill="1" applyBorder="1" applyAlignment="1">
      <alignment horizontal="left" vertical="center" wrapText="1"/>
    </xf>
    <xf numFmtId="49" fontId="32" fillId="0" borderId="2" xfId="0" applyNumberFormat="1" applyFont="1" applyFill="1" applyBorder="1" applyAlignment="1">
      <alignment horizontal="left" vertical="center" wrapText="1"/>
    </xf>
    <xf numFmtId="49" fontId="32" fillId="0" borderId="3" xfId="0" applyNumberFormat="1" applyFont="1" applyFill="1" applyBorder="1" applyAlignment="1">
      <alignment horizontal="left" vertical="center" wrapText="1"/>
    </xf>
    <xf numFmtId="49" fontId="32" fillId="0" borderId="4" xfId="0" applyNumberFormat="1" applyFont="1" applyFill="1" applyBorder="1" applyAlignment="1">
      <alignment horizontal="left" vertical="center" wrapText="1"/>
    </xf>
    <xf numFmtId="0" fontId="37" fillId="0" borderId="1" xfId="0" applyFont="1" applyFill="1" applyBorder="1" applyAlignment="1">
      <alignment horizontal="left" vertical="center" wrapText="1"/>
    </xf>
    <xf numFmtId="0" fontId="35" fillId="0" borderId="2" xfId="6" applyFont="1" applyFill="1" applyBorder="1" applyAlignment="1">
      <alignment horizontal="left" vertical="center" wrapText="1"/>
    </xf>
    <xf numFmtId="0" fontId="35" fillId="0" borderId="4" xfId="6" applyFont="1" applyFill="1" applyBorder="1" applyAlignment="1">
      <alignment horizontal="left" vertical="center" wrapText="1"/>
    </xf>
    <xf numFmtId="0" fontId="37" fillId="0" borderId="2" xfId="6" applyFont="1" applyFill="1" applyBorder="1" applyAlignment="1">
      <alignment horizontal="left" vertical="center"/>
    </xf>
    <xf numFmtId="0" fontId="37" fillId="0" borderId="4" xfId="6" applyFont="1" applyFill="1" applyBorder="1" applyAlignment="1">
      <alignment horizontal="left" vertical="center"/>
    </xf>
    <xf numFmtId="0" fontId="35" fillId="0" borderId="1" xfId="1" applyFont="1" applyFill="1" applyBorder="1" applyAlignment="1">
      <alignment horizontal="left" vertical="center" wrapText="1"/>
    </xf>
    <xf numFmtId="0" fontId="36" fillId="0" borderId="1" xfId="1" applyFont="1" applyFill="1" applyBorder="1" applyAlignment="1">
      <alignment horizontal="left" vertical="center" wrapText="1"/>
    </xf>
    <xf numFmtId="0" fontId="36" fillId="0" borderId="49" xfId="0" applyFont="1" applyFill="1" applyBorder="1" applyAlignment="1">
      <alignment horizontal="left" vertical="center" wrapText="1"/>
    </xf>
    <xf numFmtId="0" fontId="36" fillId="0" borderId="4" xfId="0" applyFont="1" applyFill="1" applyBorder="1" applyAlignment="1">
      <alignment horizontal="left" vertical="center" wrapText="1"/>
    </xf>
    <xf numFmtId="0" fontId="36" fillId="0" borderId="2" xfId="1" applyFont="1" applyFill="1" applyBorder="1" applyAlignment="1">
      <alignment horizontal="left" vertical="center" wrapText="1"/>
    </xf>
    <xf numFmtId="0" fontId="36" fillId="0" borderId="4" xfId="1" applyFont="1" applyFill="1" applyBorder="1" applyAlignment="1">
      <alignment horizontal="left" vertical="center" wrapText="1"/>
    </xf>
    <xf numFmtId="0" fontId="37" fillId="0" borderId="2" xfId="0" applyFont="1" applyFill="1" applyBorder="1" applyAlignment="1">
      <alignment horizontal="left" vertical="center" wrapText="1"/>
    </xf>
    <xf numFmtId="0" fontId="37" fillId="0" borderId="4" xfId="0" applyFont="1" applyFill="1" applyBorder="1" applyAlignment="1">
      <alignment horizontal="left" vertical="center" wrapText="1"/>
    </xf>
    <xf numFmtId="49" fontId="37" fillId="0" borderId="2" xfId="0" applyNumberFormat="1" applyFont="1" applyFill="1" applyBorder="1" applyAlignment="1">
      <alignment horizontal="left" vertical="center" wrapText="1"/>
    </xf>
    <xf numFmtId="49" fontId="37" fillId="0" borderId="4" xfId="0" applyNumberFormat="1" applyFont="1" applyFill="1" applyBorder="1" applyAlignment="1">
      <alignment horizontal="left" vertical="center" wrapText="1"/>
    </xf>
    <xf numFmtId="49" fontId="37" fillId="8" borderId="2" xfId="0" applyNumberFormat="1" applyFont="1" applyFill="1" applyBorder="1" applyAlignment="1">
      <alignment horizontal="left" vertical="center" wrapText="1"/>
    </xf>
    <xf numFmtId="49" fontId="37" fillId="8" borderId="4" xfId="0" applyNumberFormat="1" applyFont="1" applyFill="1" applyBorder="1" applyAlignment="1">
      <alignment horizontal="left" vertical="center" wrapText="1"/>
    </xf>
    <xf numFmtId="0" fontId="35" fillId="0" borderId="1" xfId="6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1" xfId="0" applyFont="1" applyFill="1" applyBorder="1" applyAlignment="1">
      <alignment horizontal="center" vertical="center"/>
    </xf>
    <xf numFmtId="3" fontId="31" fillId="0" borderId="1" xfId="0" applyNumberFormat="1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top" wrapText="1"/>
    </xf>
    <xf numFmtId="0" fontId="28" fillId="0" borderId="8" xfId="0" applyFont="1" applyBorder="1" applyAlignment="1">
      <alignment horizontal="center" vertical="top" wrapText="1"/>
    </xf>
    <xf numFmtId="0" fontId="27" fillId="0" borderId="5" xfId="0" applyFont="1" applyBorder="1" applyAlignment="1">
      <alignment horizontal="center" vertical="top" wrapText="1"/>
    </xf>
    <xf numFmtId="0" fontId="27" fillId="0" borderId="8" xfId="0" applyFont="1" applyBorder="1" applyAlignment="1">
      <alignment horizontal="center" vertical="top" wrapText="1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39" fillId="0" borderId="1" xfId="0" applyFont="1" applyBorder="1" applyAlignment="1">
      <alignment horizontal="center"/>
    </xf>
    <xf numFmtId="0" fontId="39" fillId="0" borderId="5" xfId="0" applyFont="1" applyBorder="1" applyAlignment="1">
      <alignment horizontal="center"/>
    </xf>
    <xf numFmtId="0" fontId="39" fillId="0" borderId="2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52" fillId="7" borderId="2" xfId="16" applyFont="1" applyFill="1" applyBorder="1" applyAlignment="1">
      <alignment horizontal="center" vertical="center" wrapText="1"/>
    </xf>
    <xf numFmtId="0" fontId="52" fillId="7" borderId="3" xfId="16" applyFont="1" applyFill="1" applyBorder="1" applyAlignment="1">
      <alignment horizontal="center" vertical="center" wrapText="1"/>
    </xf>
    <xf numFmtId="0" fontId="52" fillId="7" borderId="4" xfId="16" applyFont="1" applyFill="1" applyBorder="1" applyAlignment="1">
      <alignment horizontal="center" vertical="center" wrapText="1"/>
    </xf>
    <xf numFmtId="0" fontId="52" fillId="7" borderId="2" xfId="16" applyFont="1" applyFill="1" applyBorder="1" applyAlignment="1">
      <alignment horizontal="center" vertical="center"/>
    </xf>
    <xf numFmtId="0" fontId="52" fillId="7" borderId="3" xfId="16" applyFont="1" applyFill="1" applyBorder="1" applyAlignment="1">
      <alignment horizontal="center" vertical="center"/>
    </xf>
    <xf numFmtId="0" fontId="52" fillId="7" borderId="4" xfId="16" applyFont="1" applyFill="1" applyBorder="1" applyAlignment="1">
      <alignment horizontal="center" vertical="center"/>
    </xf>
    <xf numFmtId="0" fontId="52" fillId="7" borderId="10" xfId="16" applyFont="1" applyFill="1" applyBorder="1" applyAlignment="1">
      <alignment horizontal="center"/>
    </xf>
    <xf numFmtId="0" fontId="52" fillId="7" borderId="12" xfId="16" applyFont="1" applyFill="1" applyBorder="1" applyAlignment="1">
      <alignment horizontal="center"/>
    </xf>
    <xf numFmtId="0" fontId="31" fillId="0" borderId="55" xfId="0" applyFont="1" applyBorder="1" applyAlignment="1">
      <alignment horizontal="center" vertical="center"/>
    </xf>
    <xf numFmtId="0" fontId="52" fillId="7" borderId="1" xfId="16" applyFont="1" applyFill="1" applyBorder="1" applyAlignment="1">
      <alignment horizontal="center"/>
    </xf>
    <xf numFmtId="0" fontId="31" fillId="0" borderId="2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182" fontId="51" fillId="0" borderId="1" xfId="17" applyNumberFormat="1" applyFont="1" applyFill="1" applyBorder="1" applyAlignment="1">
      <alignment horizontal="center" vertical="center" wrapText="1"/>
    </xf>
    <xf numFmtId="176" fontId="62" fillId="0" borderId="2" xfId="13" applyFont="1" applyFill="1" applyBorder="1" applyAlignment="1">
      <alignment horizontal="center" vertical="center" wrapText="1"/>
    </xf>
    <xf numFmtId="176" fontId="62" fillId="0" borderId="3" xfId="13" applyFont="1" applyFill="1" applyBorder="1" applyAlignment="1">
      <alignment horizontal="center" vertical="center" wrapText="1"/>
    </xf>
    <xf numFmtId="0" fontId="51" fillId="0" borderId="67" xfId="0" applyFont="1" applyFill="1" applyBorder="1" applyAlignment="1">
      <alignment horizontal="left" vertical="top" wrapText="1"/>
    </xf>
    <xf numFmtId="0" fontId="51" fillId="0" borderId="13" xfId="0" applyFont="1" applyFill="1" applyBorder="1" applyAlignment="1">
      <alignment horizontal="left" vertical="top" wrapText="1"/>
    </xf>
    <xf numFmtId="1" fontId="62" fillId="0" borderId="74" xfId="13" applyNumberFormat="1" applyFont="1" applyFill="1" applyBorder="1" applyAlignment="1">
      <alignment horizontal="center" wrapText="1"/>
    </xf>
    <xf numFmtId="1" fontId="62" fillId="0" borderId="3" xfId="13" applyNumberFormat="1" applyFont="1" applyFill="1" applyBorder="1" applyAlignment="1">
      <alignment horizontal="center" wrapText="1"/>
    </xf>
    <xf numFmtId="1" fontId="62" fillId="0" borderId="4" xfId="13" applyNumberFormat="1" applyFont="1" applyFill="1" applyBorder="1" applyAlignment="1">
      <alignment horizontal="center" wrapText="1"/>
    </xf>
    <xf numFmtId="176" fontId="65" fillId="0" borderId="7" xfId="13" applyFont="1" applyFill="1" applyBorder="1" applyAlignment="1">
      <alignment horizontal="center" vertical="center"/>
    </xf>
    <xf numFmtId="176" fontId="65" fillId="0" borderId="13" xfId="13" applyFont="1" applyFill="1" applyBorder="1" applyAlignment="1">
      <alignment horizontal="center" vertical="center"/>
    </xf>
    <xf numFmtId="176" fontId="65" fillId="0" borderId="11" xfId="13" applyFont="1" applyFill="1" applyBorder="1" applyAlignment="1">
      <alignment horizontal="center" vertical="center"/>
    </xf>
    <xf numFmtId="176" fontId="65" fillId="0" borderId="0" xfId="13" applyFont="1" applyFill="1" applyBorder="1" applyAlignment="1">
      <alignment horizontal="center" vertical="center"/>
    </xf>
    <xf numFmtId="0" fontId="51" fillId="0" borderId="63" xfId="0" applyFont="1" applyFill="1" applyBorder="1" applyAlignment="1">
      <alignment horizontal="left" vertical="top" wrapText="1"/>
    </xf>
    <xf numFmtId="0" fontId="64" fillId="0" borderId="1" xfId="18" applyFont="1" applyFill="1" applyBorder="1" applyAlignment="1">
      <alignment horizontal="center"/>
    </xf>
    <xf numFmtId="0" fontId="51" fillId="0" borderId="1" xfId="18" applyFont="1" applyFill="1" applyBorder="1" applyAlignment="1">
      <alignment horizontal="center" vertical="center" wrapText="1"/>
    </xf>
    <xf numFmtId="168" fontId="51" fillId="0" borderId="1" xfId="3" applyNumberFormat="1" applyFont="1" applyFill="1" applyBorder="1" applyAlignment="1">
      <alignment horizontal="center" vertical="center" wrapText="1"/>
    </xf>
    <xf numFmtId="168" fontId="51" fillId="0" borderId="9" xfId="3" applyNumberFormat="1" applyFont="1" applyFill="1" applyBorder="1" applyAlignment="1">
      <alignment horizontal="center" vertical="center" wrapText="1"/>
    </xf>
    <xf numFmtId="168" fontId="51" fillId="0" borderId="21" xfId="3" applyNumberFormat="1" applyFont="1" applyFill="1" applyBorder="1" applyAlignment="1">
      <alignment horizontal="center" vertical="center" wrapText="1"/>
    </xf>
    <xf numFmtId="0" fontId="31" fillId="0" borderId="32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0" fontId="31" fillId="0" borderId="27" xfId="0" applyFont="1" applyBorder="1" applyAlignment="1">
      <alignment horizontal="center" vertical="center"/>
    </xf>
    <xf numFmtId="0" fontId="31" fillId="0" borderId="54" xfId="0" applyFont="1" applyBorder="1" applyAlignment="1">
      <alignment horizontal="center" vertical="center"/>
    </xf>
  </cellXfs>
  <cellStyles count="19">
    <cellStyle name="Normal 4" xfId="10"/>
    <cellStyle name="Normal_Draft model Keratek 12.12 3" xfId="8"/>
    <cellStyle name="Normal_Rez_UndB1" xfId="16"/>
    <cellStyle name="Обычный" xfId="0" builtinId="0"/>
    <cellStyle name="Обычный 10 10 2 3" xfId="12"/>
    <cellStyle name="Обычный 123" xfId="14"/>
    <cellStyle name="Обычный 14" xfId="6"/>
    <cellStyle name="Обычный 14 2 2" xfId="2"/>
    <cellStyle name="Обычный 2" xfId="18"/>
    <cellStyle name="Обычный 2 100" xfId="15"/>
    <cellStyle name="Обычный 2 2 2" xfId="17"/>
    <cellStyle name="Обычный 4" xfId="13"/>
    <cellStyle name="Обычный 6 15" xfId="1"/>
    <cellStyle name="Обычный_МОДЕЛЬ" xfId="9"/>
    <cellStyle name="Обычный_Предварительная оценка" xfId="7"/>
    <cellStyle name="Процентный" xfId="5" builtinId="5"/>
    <cellStyle name="Финансовый" xfId="4" builtinId="3"/>
    <cellStyle name="Финансовый 2" xfId="3"/>
    <cellStyle name="Финансовый 3 2 46" xfId="1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33" Type="http://schemas.openxmlformats.org/officeDocument/2006/relationships/externalLink" Target="externalLinks/externalLink1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externalLink" Target="externalLinks/externalLink1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externalLink" Target="externalLinks/externalLink10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6;&#1040;&#1041;&#1054;&#1058;&#1040;/&#1056;&#1072;&#1079;&#1086;&#1074;&#1099;&#1077;%20&#1079;&#1072;&#1076;&#1072;&#1085;&#1080;&#1103;/2024/&#1055;&#1077;&#1088;&#1077;&#1086;&#1094;&#1077;&#1085;&#1082;&#1072;%20&#1079;&#1072;&#1087;&#1072;&#1089;&#1086;&#1074;%20&#1040;&#1064;/&#1048;&#1044;%20&#1050;&#1086;&#1084;&#1084;.&#1088;&#1072;&#1089;&#1093;&#1086;&#1076;&#109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6;&#1040;&#1041;&#1054;&#1063;&#1040;&#1071;%20&#1052;&#1040;&#1056;&#1046;&#1040;&#1053;%20&#1086;&#1090;%2004.09.2017-01.12.2019/&#1043;&#1045;&#1054;&#1055;&#1056;&#1054;&#1045;&#1050;&#1058;%20&#1042;&#1054;&#1057;&#1058;&#1054;&#1050;/&#1048;&#1088;&#1090;&#1099;&#1096;&#1089;&#1082;&#1080;&#1081;/&#1055;&#1047;%20&#1050;&#1040;&#1047;%20&#1056;&#1057;/&#1060;&#1069;&#1052;%20&#1048;&#1088;&#1090;&#1099;&#1096;&#1089;&#1082;&#1080;&#1081;%20&#1055;&#1086;&#1076;&#1079;&#1077;&#1084;&#1082;&#1072;%20-%20&#1079;&#1072;&#1087;&#1072;&#1089;&#1099;%2015.11.24%20-%20&#1048;&#1058;&#1054;&#1043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6;&#1040;&#1041;&#1054;&#1063;&#1040;&#1071;%20&#1052;&#1040;&#1056;&#1046;&#1040;&#1053;%20&#1086;&#1090;%2004.09.2017-01.12.2019\&#1043;&#1045;&#1054;&#1055;&#1056;&#1054;&#1045;&#1050;&#1058;%20&#1042;&#1054;&#1057;&#1058;&#1054;&#1050;\&#1057;&#1059;&#1047;&#1044;&#1040;&#1051;&#1068;\&#1057;&#1059;&#1047;&#1044;&#1040;&#1051;&#1068;_&#1058;&#1069;&#1054;%20&#1080;%20&#1055;&#1047;_2023&#1075;_&#1052;&#1050;&#1047;\&#1050;&#1053;&#1048;&#1043;&#1040;%203%20&#1058;&#1072;&#1073;&#1083;.&#1080;%20&#1090;&#1077;&#1082;&#1089;&#1090;.&#1055;&#1088;&#1080;&#1083;\&#1055;&#1056;&#1048;&#1051;.%2011%20&#1060;&#1069;&#1052;\&#1060;&#1069;&#1052;%20&#1082;%20&#1055;&#1047;&#1057;&#1091;&#1079;&#1076;&#1072;&#1083;&#1100;-&#1087;&#1086;&#1076;&#1079;&#1077;&#1084;&#1082;&#1072;%20-%20&#1101;&#1082;&#10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6;&#1040;&#1041;&#1054;&#1063;&#1040;&#1071;%20&#1052;&#1040;&#1056;&#1046;&#1040;&#1053;%20&#1086;&#1090;%2004.09.2017-01.12.2019/&#1043;&#1045;&#1054;&#1055;&#1056;&#1054;&#1045;&#1050;&#1058;%20&#1042;&#1054;&#1057;&#1058;&#1054;&#1050;/&#1048;&#1088;&#1090;&#1099;&#1096;&#1089;&#1082;&#1080;&#1081;/&#1055;&#1047;%20&#1050;&#1040;&#1047;%20&#1056;&#1057;/&#1060;&#1069;&#1052;%20&#1048;&#1088;&#1090;&#1099;&#1096;&#1089;&#1082;&#1080;&#1081;%20&#1055;&#1086;&#1076;&#1079;&#1077;&#1084;&#1082;&#1072;%20-%20&#1088;&#1077;&#1089;&#1091;&#1088;&#1089;&#1099;%2005.11.2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8;&#1045;&#1054;-8/&#1076;&#1086;&#1075;.%20461%20&#1040;&#1088;&#1090;&#1077;&#1084;%20&#1055;&#1043;&#1056;_&#1082;&#1086;&#1088;&#1088;&#1077;&#1082;&#1090;&#1080;&#1088;&#1086;&#1074;&#1082;&#1072;/&#1058;&#1069;&#1063;%20&#1055;&#1043;&#1056;%20&#8212;%20&#1087;&#1086;%20&#1079;&#1072;&#1084;&#1077;&#1095;&#1072;&#1085;&#1080;&#1103;&#1084;/&#1079;&#1072;&#1076;&#1072;&#1085;&#1080;&#1077;%20&#1086;&#1090;%20&#1089;&#1084;&#1077;&#1078;&#1085;&#1080;&#1082;&#1086;&#1074;/461.22%20-%20&#1043;&#1088;&#1072;&#1092;&#1080;&#1082;%20&#1079;&#1072;&#1084;&#1077;&#1085;&#1099;%20(&#1050;&#1043;&#1062;&#1052;).%20&#1056;&#1077;&#1074;.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8;&#1045;&#1054;-8/&#1076;&#1086;&#1075;.%20461%20&#1040;&#1088;&#1090;&#1077;&#1084;%20&#1055;&#1043;&#1056;_&#1082;&#1086;&#1088;&#1088;&#1077;&#1082;&#1090;&#1080;&#1088;&#1086;&#1074;&#1082;&#1072;/&#1058;&#1069;&#1063;%20&#1055;&#1043;&#1056;%20&#8212;%20&#1087;&#1086;%20&#1079;&#1072;&#1084;&#1077;&#1095;&#1072;&#1085;&#1080;&#1103;&#1084;/&#1089;&#1084;&#1077;&#1090;&#1099;%20&#1043;&#1064;&#1054;%20&#1076;&#1083;&#1103;%20&#1079;&#1072;&#1084;&#1077;&#1085;&#1099;/461.22-&#1043;&#1052;-&#1089;&#1084;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o-8\&#1058;&#1045;&#1054;-8\&#1076;&#1086;&#1075;.%20380%20&#1040;&#1088;&#1090;&#1077;&#1084;%20&#1055;&#1043;&#1056;%20&#1080;%20&#1055;&#1088;&#1086;&#1077;&#1082;&#1090;\&#1051;&#1086;&#1082;&#1072;&#1083;&#1100;&#1085;&#1099;&#1077;%20&#1089;&#1084;&#1077;&#1090;&#1099;%20&#1076;&#1083;&#1103;%20&#1079;&#1072;&#1084;&#1077;&#1085;&#1099;%20&#1086;&#1073;&#1086;&#1088;&#1091;&#1076;\380.19.2-&#1043;&#1052;-&#1089;&#1084;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8;&#1045;&#1054;-8/&#1076;&#1086;&#1075;.%20461%20&#1040;&#1088;&#1090;&#1077;&#1084;%20&#1055;&#1043;&#1056;_&#1082;&#1086;&#1088;&#1088;&#1077;&#1082;&#1090;&#1080;&#1088;&#1086;&#1074;&#1082;&#1072;/&#1058;&#1069;&#1063;%20&#1055;&#1043;&#1056;%20&#8212;%20&#1087;&#1086;%20&#1079;&#1072;&#1084;&#1077;&#1095;&#1072;&#1085;&#1080;&#1103;&#1084;/&#1089;&#1084;&#1077;&#1090;&#1099;%20&#1043;&#1064;&#1054;%20&#1076;&#1083;&#1103;%20&#1079;&#1072;&#1084;&#1077;&#1085;&#1099;/&#1053;&#1086;&#1074;&#1072;&#1103;%20&#1087;&#1072;&#1087;&#1082;&#1072;/380.19.2-2.3-&#1043;&#1052;-&#1089;&#1084;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5;&#1043;&#1056;/&#1090;.3%20&#1058;&#1069;&#1054;/461%20&#1087;&#1088;&#1080;&#1083;%20&#1043;%20-%20&#1047;&#1072;&#1084;&#1077;&#1085;&#1072;%20&#1086;&#1073;&#1086;&#1088;&#1091;&#1076;&#1086;&#1074;&#1072;&#1085;&#1080;&#1103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8;&#1045;&#1054;-8/&#1076;&#1086;&#1075;.%20461%20&#1040;&#1088;&#1090;&#1077;&#1084;%20&#1055;&#1043;&#1056;_&#1082;&#1086;&#1088;&#1088;&#1077;&#1082;&#1090;&#1080;&#1088;&#1086;&#1074;&#1082;&#1072;/&#1058;&#1069;&#1063;%20&#1055;&#1043;&#1056;%20&#8212;%20&#1087;&#1086;%20&#1079;&#1072;&#1084;&#1077;&#1095;&#1072;&#1085;&#1080;&#1103;&#1084;/&#1089;&#1084;&#1077;&#1090;&#1099;%20&#1043;&#1064;&#1054;%20&#1076;&#1083;&#1103;%20&#1079;&#1072;&#1084;&#1077;&#1085;&#1099;/461.22-&#1043;&#1052;&#1055;-&#1089;&#1084;7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8;&#1045;&#1054;-8/&#1076;&#1086;&#1075;.%20461%20&#1040;&#1088;&#1090;&#1077;&#1084;%20&#1055;&#1043;&#1056;_&#1082;&#1086;&#1088;&#1088;&#1077;&#1082;&#1090;&#1080;&#1088;&#1086;&#1074;&#1082;&#1072;/&#1058;&#1069;&#1063;%20&#1055;&#1043;&#1056;%20&#8212;%20&#1087;&#1086;%20&#1079;&#1072;&#1084;&#1077;&#1095;&#1072;&#1085;&#1080;&#1103;&#1084;/&#1089;&#1084;&#1077;&#1090;&#1099;%20&#1043;&#1064;&#1054;%20&#1076;&#1083;&#1103;%20&#1079;&#1072;&#1084;&#1077;&#1085;&#1099;/461.22-&#1043;&#1052;&#1055;-&#1089;&#1084;5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8;&#1045;&#1054;-8/&#1076;&#1086;&#1075;.%20461%20&#1040;&#1088;&#1090;&#1077;&#1084;%20&#1055;&#1043;&#1056;_&#1082;&#1086;&#1088;&#1088;&#1077;&#1082;&#1090;&#1080;&#1088;&#1086;&#1074;&#1082;&#1072;/&#1058;&#1069;&#1063;%20&#1055;&#1043;&#1056;%20&#8212;%20&#1087;&#1086;%20&#1079;&#1072;&#1084;&#1077;&#1095;&#1072;&#1085;&#1080;&#1103;&#1084;/&#1089;&#1084;&#1077;&#1090;&#1099;%20&#1043;&#1064;&#1054;%20&#1076;&#1083;&#1103;%20&#1079;&#1072;&#1084;&#1077;&#1085;&#1099;/461.22-&#1043;&#1052;&#1055;-&#1089;&#1084;6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8;&#1045;&#1054;-8/&#1076;&#1086;&#1075;.%20461%20&#1040;&#1088;&#1090;&#1077;&#1084;%20&#1055;&#1043;&#1056;_&#1082;&#1086;&#1088;&#1088;&#1077;&#1082;&#1090;&#1080;&#1088;&#1086;&#1074;&#1082;&#1072;/&#1058;&#1069;&#1063;%20&#1055;&#1043;&#1056;%20&#8212;%20&#1087;&#1086;%20&#1079;&#1072;&#1084;&#1077;&#1095;&#1072;&#1085;&#1080;&#1103;&#1084;/&#1089;&#1084;&#1077;&#1090;&#1099;%20&#1043;&#1064;&#1054;%20&#1076;&#1083;&#1103;%20&#1079;&#1072;&#1084;&#1077;&#1085;&#1099;/461.22-&#1043;&#1052;&#1055;-&#1089;&#1084;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.15 Перев., реализация"/>
    </sheetNames>
    <sheetDataSet>
      <sheetData sheetId="0">
        <row r="21">
          <cell r="D21">
            <v>41.744224854775176</v>
          </cell>
          <cell r="E21">
            <v>58.031373997721161</v>
          </cell>
          <cell r="F21">
            <v>10.275478318990439</v>
          </cell>
          <cell r="G21">
            <v>0.54274653055449484</v>
          </cell>
          <cell r="H21">
            <v>93.056013905613796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акро"/>
      <sheetName val="ОСНОВНЫЕ ТЭП"/>
      <sheetName val="Базовые показ для расчетов"/>
      <sheetName val="В1_ФЭМ 3,4, новая ИТОГ"/>
      <sheetName val="В2_ФЭМ РТ2,новая"/>
      <sheetName val="В2.1_ФЭМ Новая Итог"/>
      <sheetName val="В2.2_ФЭМ РТ2 Итог"/>
      <sheetName val="В3_ФЭМ РТ2,ЮВ,Основ"/>
      <sheetName val="В4_ФЭМ_ЮВ, Основ"/>
      <sheetName val="В5_ФЭМ ОБЩАЯ"/>
      <sheetName val="В 5а_ФЭМ общая фикс цена и УП "/>
      <sheetName val="запасы"/>
      <sheetName val="Перер итог"/>
      <sheetName val="Удельные затр"/>
      <sheetName val="утв запасы 01.19"/>
      <sheetName val="Справка ОАР"/>
      <sheetName val="Справка ПГР"/>
      <sheetName val="Инфляция и Цены прогноз"/>
      <sheetName val="Цены"/>
      <sheetName val="Расчет НДПИ 24 г"/>
      <sheetName val="Календарь"/>
      <sheetName val="График ГКР 3.4 новая"/>
      <sheetName val="ГКР Новая"/>
      <sheetName val="ГКР РТ2"/>
      <sheetName val="В 1 Capex РТ 3 &amp; 4 &amp; Новая"/>
      <sheetName val="В 2 Capex РТ 2 &amp; Новая"/>
      <sheetName val="В 2_1 Capex New"/>
      <sheetName val="В 2_2 Capex РТ2"/>
      <sheetName val="В 3 Capex РТ2&amp;Осн&amp;ЮВ "/>
      <sheetName val="В 4 Capex Осн&amp;ЮВ "/>
      <sheetName val="В 5 Capex Осн&amp;ЮВ "/>
      <sheetName val="Расчет Кап РТ3РТ4"/>
      <sheetName val="И-1 Расчет Кап Дейс +РТ2"/>
      <sheetName val="Расчет Кап РТ 2 и Новая 2017"/>
      <sheetName val="ОС ИШ"/>
      <sheetName val="Аморт ОС"/>
      <sheetName val="Аморт добав ГКР+ГРР"/>
      <sheetName val="Аморт добав по груп"/>
      <sheetName val="Техн часть (т9)- извл"/>
      <sheetName val="Бал МЕ ИД"/>
      <sheetName val="перевозка 2024"/>
      <sheetName val="ФЭМ (Вскр. Р.т).- расчет дохода"/>
      <sheetName val="переработка факт 2020-2023"/>
      <sheetName val="перевозка 2023"/>
      <sheetName val="Смэлтинг 2024"/>
      <sheetName val="Справка стоим ГКР"/>
      <sheetName val="Справка -ФОТ"/>
      <sheetName val="Справка Налоги"/>
      <sheetName val="НДПИ 19"/>
      <sheetName val="уд пок"/>
      <sheetName val="опекс"/>
      <sheetName val="капикс"/>
      <sheetName val="Ресур 19"/>
      <sheetName val="ТЭО ПЕРЕОЦЕНКА 2019"/>
      <sheetName val="ФЭМ (вскр. Р.т) Вар -3а "/>
      <sheetName val="Основ ТЭП Новая ЛОМ 2019 "/>
      <sheetName val="разв и эксп работы В 3А"/>
      <sheetName val="Расч стоим Тех матер В3"/>
      <sheetName val="Аморт В3"/>
      <sheetName val="Расчет затрат В3"/>
      <sheetName val="Капитальные затр и амор ПГР"/>
      <sheetName val="ОТП ПГР"/>
      <sheetName val="ЛОМ и ГКР ПГР"/>
      <sheetName val="Здания и соор"/>
      <sheetName val="Обор"/>
      <sheetName val="Комп"/>
      <sheetName val="Проч"/>
      <sheetName val="произ расх"/>
      <sheetName val="валов дох"/>
      <sheetName val="ден потоки"/>
      <sheetName val="Лист4"/>
    </sheetNames>
    <sheetDataSet>
      <sheetData sheetId="0">
        <row r="24">
          <cell r="A24" t="str">
            <v>Налог на имущество</v>
          </cell>
        </row>
        <row r="26">
          <cell r="A26" t="str">
            <v>Плата за пользование водными ресурсами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акро"/>
      <sheetName val="Табл12.1 _Уд.зат"/>
      <sheetName val="Табл12.2_Расчет КапЗатраты"/>
      <sheetName val="Табл12.3 _ТЭП-сопоставл"/>
      <sheetName val="Табл12.4 _ФЭМ"/>
      <sheetName val="Запасы"/>
      <sheetName val="Календарь"/>
      <sheetName val="ОС Суздаль"/>
      <sheetName val="Амор"/>
      <sheetName val="CAPEX Суздаль"/>
      <sheetName val="РасчетПроммин"/>
    </sheetNames>
    <sheetDataSet>
      <sheetData sheetId="0">
        <row r="35">
          <cell r="C35">
            <v>0.15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акро"/>
      <sheetName val="ОСНОВНЫЕ ТЭП"/>
      <sheetName val="Базовые показ для расчетов"/>
      <sheetName val="В1_ФЭМ 3,4, новая ИТОГ"/>
      <sheetName val="В2_ФЭМ РТ2,новая"/>
      <sheetName val="В2.1_ФЭМ Новая Итог"/>
      <sheetName val="В2.2_ФЭМ РТ2 Итог"/>
      <sheetName val="В3_ФЭМ РТ2,ЮВ,Основ"/>
      <sheetName val="В4_ФЭМ_ЮВ, Основ"/>
      <sheetName val="В5_ФЭМ ОБЩАЯ"/>
      <sheetName val="В 5а_ФЭМ общая фикс цена и УП "/>
      <sheetName val="ресурсы"/>
      <sheetName val="Перер итог"/>
      <sheetName val="Перер РТ 2"/>
      <sheetName val="Перер РТ 2+новая"/>
      <sheetName val="Удельные затр"/>
      <sheetName val="утв запасы 01.19"/>
      <sheetName val="Справка ОАР"/>
      <sheetName val="Справка ПГР"/>
      <sheetName val="Инфляция и Цены прогноз"/>
      <sheetName val="Цены"/>
      <sheetName val="Расчет НДПИ 24 г"/>
      <sheetName val="Календарь"/>
      <sheetName val="График ГКР 3.4 новая"/>
      <sheetName val="ГКР Новая"/>
      <sheetName val="ГКР РТ2"/>
      <sheetName val="В 1 Capex РТ 3 &amp; 4 &amp; Новая"/>
      <sheetName val="В 2 Capex РТ 2 &amp; Новая"/>
      <sheetName val="В 2_1 Capex New"/>
      <sheetName val="В 2_2 Capex РТ2"/>
      <sheetName val="В 3 Capex РТ2&amp;Осн&amp;ЮВ "/>
      <sheetName val="В 4 Capex Осн&amp;ЮВ "/>
      <sheetName val="В 5 Capex Осн&amp;ЮВ "/>
      <sheetName val="Расчет Кап РТ3РТ4"/>
      <sheetName val="И-1 Расчет Кап Дейс +РТ2"/>
      <sheetName val="Расчет Кап РТ 2 и Новая 2017"/>
      <sheetName val="ОС ИШ"/>
      <sheetName val="Аморт ОС"/>
      <sheetName val="Аморт добав ГКР+ГРР"/>
      <sheetName val="Аморт добав по груп"/>
      <sheetName val="Техн часть (т9)- извл"/>
      <sheetName val="Бал МЕ ИД"/>
      <sheetName val="перевозка 2024"/>
      <sheetName val="ФЭМ (Вскр. Р.т).- расчет дохода"/>
      <sheetName val="переработка факт 2020-2023"/>
      <sheetName val="перевозка 2023"/>
      <sheetName val="Смэлтинг 2024"/>
      <sheetName val="Справка стоим ГКР"/>
      <sheetName val="Справка -ФОТ"/>
      <sheetName val="Справка Налоги"/>
      <sheetName val="НДПИ 19"/>
      <sheetName val="уд пок"/>
      <sheetName val="опекс"/>
      <sheetName val="капикс"/>
      <sheetName val="Ресур 19"/>
      <sheetName val="ТЭО ПЕРЕОЦЕНКА 2019"/>
      <sheetName val="ФЭМ (вскр. Р.т) Вар -3а "/>
      <sheetName val="Основ ТЭП Новая ЛОМ 2019 "/>
      <sheetName val="разв и эксп работы В 3А"/>
      <sheetName val="Расч стоим Тех матер В3"/>
      <sheetName val="Аморт В3"/>
      <sheetName val="Расчет затрат В3"/>
      <sheetName val="Капитальные затр и амор ПГР"/>
      <sheetName val="ОТП ПГР"/>
      <sheetName val="ЛОМ и ГКР ПГР"/>
      <sheetName val="Здания и соор"/>
      <sheetName val="Обор"/>
      <sheetName val="Комп"/>
      <sheetName val="Проч"/>
    </sheetNames>
    <sheetDataSet>
      <sheetData sheetId="0"/>
      <sheetData sheetId="1"/>
      <sheetData sheetId="2"/>
      <sheetData sheetId="3">
        <row r="29">
          <cell r="B29" t="str">
            <v>Эксплуатационная руда</v>
          </cell>
          <cell r="C29" t="str">
            <v>тыс. т</v>
          </cell>
        </row>
        <row r="44">
          <cell r="B44" t="str">
            <v>Добыча руды</v>
          </cell>
        </row>
        <row r="59">
          <cell r="B59" t="str">
            <v>Содержание</v>
          </cell>
        </row>
      </sheetData>
      <sheetData sheetId="4">
        <row r="27">
          <cell r="D27">
            <v>5134.9394192589916</v>
          </cell>
        </row>
      </sheetData>
      <sheetData sheetId="5"/>
      <sheetData sheetId="6"/>
      <sheetData sheetId="7">
        <row r="28">
          <cell r="D28">
            <v>3056.0024192589908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р.замены (КГЦМ)"/>
    </sheetNames>
    <sheetDataSet>
      <sheetData sheetId="0" refreshError="1">
        <row r="14">
          <cell r="D14">
            <v>1</v>
          </cell>
          <cell r="E14">
            <v>1</v>
          </cell>
          <cell r="F14">
            <v>1</v>
          </cell>
          <cell r="G14">
            <v>1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  <cell r="L14">
            <v>1</v>
          </cell>
          <cell r="M14">
            <v>1</v>
          </cell>
          <cell r="N14">
            <v>1</v>
          </cell>
          <cell r="O14">
            <v>1</v>
          </cell>
          <cell r="P14">
            <v>0</v>
          </cell>
          <cell r="Q14">
            <v>0</v>
          </cell>
        </row>
        <row r="15">
          <cell r="D15">
            <v>0</v>
          </cell>
          <cell r="E15">
            <v>1</v>
          </cell>
          <cell r="F15">
            <v>1</v>
          </cell>
          <cell r="G15">
            <v>1</v>
          </cell>
          <cell r="H15">
            <v>1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1</v>
          </cell>
          <cell r="N15">
            <v>1</v>
          </cell>
          <cell r="O15">
            <v>1</v>
          </cell>
          <cell r="P15">
            <v>0</v>
          </cell>
          <cell r="Q15">
            <v>0</v>
          </cell>
        </row>
        <row r="16">
          <cell r="D16">
            <v>1</v>
          </cell>
          <cell r="E16">
            <v>1</v>
          </cell>
          <cell r="F16">
            <v>1</v>
          </cell>
          <cell r="G16">
            <v>1</v>
          </cell>
          <cell r="H16">
            <v>1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1</v>
          </cell>
          <cell r="N16">
            <v>1</v>
          </cell>
          <cell r="O16">
            <v>1</v>
          </cell>
          <cell r="P16">
            <v>1</v>
          </cell>
          <cell r="Q16">
            <v>1</v>
          </cell>
        </row>
        <row r="17">
          <cell r="D17">
            <v>0</v>
          </cell>
          <cell r="E17">
            <v>1</v>
          </cell>
          <cell r="F17">
            <v>1</v>
          </cell>
          <cell r="G17">
            <v>1</v>
          </cell>
          <cell r="H17">
            <v>1</v>
          </cell>
          <cell r="I17">
            <v>1</v>
          </cell>
          <cell r="J17">
            <v>1</v>
          </cell>
          <cell r="K17">
            <v>1</v>
          </cell>
          <cell r="L17">
            <v>1</v>
          </cell>
          <cell r="M17">
            <v>1</v>
          </cell>
          <cell r="N17">
            <v>1</v>
          </cell>
          <cell r="O17">
            <v>1</v>
          </cell>
          <cell r="P17">
            <v>0</v>
          </cell>
          <cell r="Q17">
            <v>0</v>
          </cell>
        </row>
        <row r="18">
          <cell r="D18">
            <v>2</v>
          </cell>
          <cell r="E18">
            <v>2</v>
          </cell>
          <cell r="F18">
            <v>2</v>
          </cell>
          <cell r="G18">
            <v>2</v>
          </cell>
          <cell r="H18">
            <v>2</v>
          </cell>
          <cell r="I18">
            <v>2</v>
          </cell>
          <cell r="J18">
            <v>2</v>
          </cell>
          <cell r="K18">
            <v>2</v>
          </cell>
          <cell r="L18">
            <v>2</v>
          </cell>
          <cell r="M18">
            <v>2</v>
          </cell>
          <cell r="N18">
            <v>2</v>
          </cell>
          <cell r="O18">
            <v>1</v>
          </cell>
          <cell r="P18">
            <v>0</v>
          </cell>
          <cell r="Q18">
            <v>0</v>
          </cell>
        </row>
        <row r="19">
          <cell r="D19">
            <v>0</v>
          </cell>
          <cell r="E19">
            <v>2</v>
          </cell>
          <cell r="F19">
            <v>2</v>
          </cell>
          <cell r="G19">
            <v>2</v>
          </cell>
          <cell r="H19">
            <v>2</v>
          </cell>
          <cell r="I19">
            <v>2</v>
          </cell>
          <cell r="J19">
            <v>2</v>
          </cell>
          <cell r="K19">
            <v>2</v>
          </cell>
          <cell r="L19">
            <v>2</v>
          </cell>
          <cell r="M19">
            <v>2</v>
          </cell>
          <cell r="N19">
            <v>2</v>
          </cell>
          <cell r="O19">
            <v>1</v>
          </cell>
          <cell r="P19">
            <v>0</v>
          </cell>
          <cell r="Q19">
            <v>0</v>
          </cell>
        </row>
        <row r="21">
          <cell r="D21">
            <v>2</v>
          </cell>
          <cell r="E21">
            <v>2</v>
          </cell>
          <cell r="F21">
            <v>2</v>
          </cell>
          <cell r="G21">
            <v>2</v>
          </cell>
          <cell r="H21">
            <v>2</v>
          </cell>
          <cell r="I21">
            <v>2</v>
          </cell>
          <cell r="J21">
            <v>2</v>
          </cell>
          <cell r="K21">
            <v>2</v>
          </cell>
          <cell r="L21">
            <v>2</v>
          </cell>
          <cell r="M21">
            <v>2</v>
          </cell>
          <cell r="N21">
            <v>2</v>
          </cell>
          <cell r="O21">
            <v>1</v>
          </cell>
          <cell r="P21">
            <v>1</v>
          </cell>
          <cell r="Q21">
            <v>1</v>
          </cell>
        </row>
        <row r="22">
          <cell r="D22">
            <v>0</v>
          </cell>
          <cell r="E22">
            <v>2</v>
          </cell>
          <cell r="F22">
            <v>2</v>
          </cell>
          <cell r="G22">
            <v>2</v>
          </cell>
          <cell r="H22">
            <v>2</v>
          </cell>
          <cell r="I22">
            <v>2</v>
          </cell>
          <cell r="J22">
            <v>2</v>
          </cell>
          <cell r="K22">
            <v>2</v>
          </cell>
          <cell r="L22">
            <v>2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1</v>
          </cell>
        </row>
        <row r="24">
          <cell r="D24">
            <v>1</v>
          </cell>
          <cell r="E24">
            <v>2</v>
          </cell>
          <cell r="F24">
            <v>3</v>
          </cell>
          <cell r="G24">
            <v>3</v>
          </cell>
          <cell r="H24">
            <v>3</v>
          </cell>
          <cell r="I24">
            <v>3</v>
          </cell>
          <cell r="J24">
            <v>4</v>
          </cell>
          <cell r="K24">
            <v>4</v>
          </cell>
          <cell r="L24">
            <v>4</v>
          </cell>
          <cell r="M24">
            <v>4</v>
          </cell>
          <cell r="N24">
            <v>3</v>
          </cell>
          <cell r="O24">
            <v>2</v>
          </cell>
          <cell r="P24">
            <v>1</v>
          </cell>
          <cell r="Q24">
            <v>1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1</v>
          </cell>
          <cell r="H25">
            <v>0</v>
          </cell>
          <cell r="I25">
            <v>1</v>
          </cell>
          <cell r="J25">
            <v>0</v>
          </cell>
          <cell r="K25">
            <v>1</v>
          </cell>
          <cell r="L25">
            <v>1</v>
          </cell>
          <cell r="M25">
            <v>1</v>
          </cell>
          <cell r="N25">
            <v>0</v>
          </cell>
          <cell r="O25">
            <v>1</v>
          </cell>
          <cell r="P25">
            <v>0</v>
          </cell>
          <cell r="Q25">
            <v>0</v>
          </cell>
        </row>
        <row r="29">
          <cell r="D29">
            <v>3</v>
          </cell>
          <cell r="E29">
            <v>4</v>
          </cell>
          <cell r="F29">
            <v>5</v>
          </cell>
          <cell r="G29">
            <v>5</v>
          </cell>
          <cell r="H29">
            <v>5</v>
          </cell>
          <cell r="I29">
            <v>5</v>
          </cell>
          <cell r="J29">
            <v>4</v>
          </cell>
          <cell r="K29">
            <v>4</v>
          </cell>
          <cell r="L29">
            <v>4</v>
          </cell>
          <cell r="M29">
            <v>4</v>
          </cell>
          <cell r="N29">
            <v>3</v>
          </cell>
          <cell r="O29">
            <v>2</v>
          </cell>
          <cell r="P29">
            <v>1</v>
          </cell>
          <cell r="Q29">
            <v>1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3</v>
          </cell>
          <cell r="H30">
            <v>1</v>
          </cell>
          <cell r="I30">
            <v>0</v>
          </cell>
          <cell r="J30">
            <v>0</v>
          </cell>
          <cell r="K30">
            <v>4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5">
          <cell r="D35">
            <v>0</v>
          </cell>
          <cell r="E35">
            <v>0</v>
          </cell>
          <cell r="F35">
            <v>1</v>
          </cell>
          <cell r="G35">
            <v>1</v>
          </cell>
          <cell r="H35">
            <v>1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>
            <v>1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1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D37">
            <v>1</v>
          </cell>
          <cell r="E37">
            <v>1</v>
          </cell>
          <cell r="F37">
            <v>2</v>
          </cell>
          <cell r="G37">
            <v>2</v>
          </cell>
          <cell r="H37">
            <v>2</v>
          </cell>
          <cell r="I37">
            <v>2</v>
          </cell>
          <cell r="J37">
            <v>2</v>
          </cell>
          <cell r="K37">
            <v>2</v>
          </cell>
          <cell r="L37">
            <v>2</v>
          </cell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1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1</v>
          </cell>
          <cell r="I38">
            <v>0</v>
          </cell>
          <cell r="J38">
            <v>1</v>
          </cell>
          <cell r="K38">
            <v>0</v>
          </cell>
          <cell r="L38">
            <v>1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</row>
        <row r="40">
          <cell r="D40">
            <v>0</v>
          </cell>
          <cell r="E40">
            <v>0</v>
          </cell>
          <cell r="F40">
            <v>1</v>
          </cell>
          <cell r="G40">
            <v>1</v>
          </cell>
          <cell r="H40">
            <v>1</v>
          </cell>
          <cell r="I40">
            <v>1</v>
          </cell>
          <cell r="J40">
            <v>1</v>
          </cell>
          <cell r="K40">
            <v>1</v>
          </cell>
          <cell r="L40">
            <v>1</v>
          </cell>
          <cell r="M40">
            <v>1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1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D42">
            <v>1</v>
          </cell>
          <cell r="E42">
            <v>1</v>
          </cell>
          <cell r="F42">
            <v>1</v>
          </cell>
          <cell r="G42">
            <v>1</v>
          </cell>
          <cell r="H42">
            <v>1</v>
          </cell>
          <cell r="I42">
            <v>1</v>
          </cell>
          <cell r="J42">
            <v>1</v>
          </cell>
          <cell r="K42">
            <v>1</v>
          </cell>
          <cell r="L42">
            <v>1</v>
          </cell>
          <cell r="M42">
            <v>1</v>
          </cell>
          <cell r="N42">
            <v>1</v>
          </cell>
          <cell r="O42">
            <v>1</v>
          </cell>
          <cell r="P42">
            <v>1</v>
          </cell>
          <cell r="Q42">
            <v>1</v>
          </cell>
        </row>
        <row r="43"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1</v>
          </cell>
          <cell r="I43">
            <v>0</v>
          </cell>
          <cell r="J43">
            <v>0</v>
          </cell>
          <cell r="K43">
            <v>0</v>
          </cell>
          <cell r="L43">
            <v>1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D44">
            <v>1</v>
          </cell>
          <cell r="E44">
            <v>1</v>
          </cell>
          <cell r="F44">
            <v>1</v>
          </cell>
          <cell r="G44">
            <v>1</v>
          </cell>
          <cell r="H44">
            <v>1</v>
          </cell>
          <cell r="I44">
            <v>1</v>
          </cell>
          <cell r="J44">
            <v>1</v>
          </cell>
          <cell r="K44">
            <v>1</v>
          </cell>
          <cell r="L44">
            <v>1</v>
          </cell>
          <cell r="M44">
            <v>1</v>
          </cell>
          <cell r="N44">
            <v>1</v>
          </cell>
          <cell r="O44">
            <v>1</v>
          </cell>
          <cell r="P44">
            <v>0</v>
          </cell>
          <cell r="Q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D46">
            <v>1</v>
          </cell>
          <cell r="E46">
            <v>1</v>
          </cell>
          <cell r="F46">
            <v>1</v>
          </cell>
          <cell r="G46">
            <v>1</v>
          </cell>
          <cell r="H46">
            <v>1</v>
          </cell>
          <cell r="I46">
            <v>1</v>
          </cell>
          <cell r="J46">
            <v>1</v>
          </cell>
          <cell r="K46">
            <v>1</v>
          </cell>
          <cell r="L46">
            <v>1</v>
          </cell>
          <cell r="M46">
            <v>1</v>
          </cell>
          <cell r="N46">
            <v>1</v>
          </cell>
          <cell r="O46">
            <v>1</v>
          </cell>
          <cell r="P46">
            <v>1</v>
          </cell>
          <cell r="Q46">
            <v>1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1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1</v>
          </cell>
          <cell r="O47">
            <v>0</v>
          </cell>
          <cell r="P47">
            <v>0</v>
          </cell>
          <cell r="Q47">
            <v>0</v>
          </cell>
        </row>
        <row r="48">
          <cell r="D48">
            <v>2</v>
          </cell>
          <cell r="E48">
            <v>4</v>
          </cell>
          <cell r="F48">
            <v>4</v>
          </cell>
          <cell r="G48">
            <v>6</v>
          </cell>
          <cell r="H48">
            <v>6</v>
          </cell>
          <cell r="I48">
            <v>6</v>
          </cell>
          <cell r="J48">
            <v>6</v>
          </cell>
          <cell r="K48">
            <v>6</v>
          </cell>
          <cell r="L48">
            <v>6</v>
          </cell>
          <cell r="M48">
            <v>6</v>
          </cell>
          <cell r="N48">
            <v>4</v>
          </cell>
          <cell r="O48">
            <v>4</v>
          </cell>
          <cell r="P48">
            <v>4</v>
          </cell>
          <cell r="Q48">
            <v>2</v>
          </cell>
        </row>
        <row r="49"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2</v>
          </cell>
          <cell r="K49">
            <v>2</v>
          </cell>
          <cell r="L49">
            <v>0</v>
          </cell>
          <cell r="M49">
            <v>0</v>
          </cell>
          <cell r="N49">
            <v>0</v>
          </cell>
          <cell r="O49">
            <v>2</v>
          </cell>
          <cell r="P49">
            <v>0</v>
          </cell>
          <cell r="Q49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3</v>
          </cell>
          <cell r="H56">
            <v>3</v>
          </cell>
          <cell r="I56">
            <v>3</v>
          </cell>
          <cell r="J56">
            <v>3</v>
          </cell>
          <cell r="K56">
            <v>3</v>
          </cell>
          <cell r="L56">
            <v>3</v>
          </cell>
          <cell r="M56">
            <v>3</v>
          </cell>
          <cell r="N56">
            <v>3</v>
          </cell>
          <cell r="O56">
            <v>3</v>
          </cell>
          <cell r="P56">
            <v>3</v>
          </cell>
          <cell r="Q56">
            <v>3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3</v>
          </cell>
          <cell r="L57">
            <v>0</v>
          </cell>
          <cell r="M57">
            <v>0</v>
          </cell>
          <cell r="N57">
            <v>0</v>
          </cell>
          <cell r="O57">
            <v>3</v>
          </cell>
          <cell r="P57">
            <v>0</v>
          </cell>
          <cell r="Q57">
            <v>0</v>
          </cell>
        </row>
        <row r="60">
          <cell r="D60">
            <v>0</v>
          </cell>
          <cell r="E60">
            <v>0</v>
          </cell>
          <cell r="F60">
            <v>0</v>
          </cell>
          <cell r="G60">
            <v>2</v>
          </cell>
          <cell r="H60">
            <v>2</v>
          </cell>
          <cell r="I60">
            <v>2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2</v>
          </cell>
          <cell r="O60">
            <v>2</v>
          </cell>
          <cell r="P60">
            <v>2</v>
          </cell>
          <cell r="Q60">
            <v>2</v>
          </cell>
        </row>
        <row r="61"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2</v>
          </cell>
          <cell r="L61">
            <v>0</v>
          </cell>
          <cell r="M61">
            <v>0</v>
          </cell>
          <cell r="N61">
            <v>0</v>
          </cell>
          <cell r="O61">
            <v>2</v>
          </cell>
          <cell r="P61">
            <v>0</v>
          </cell>
          <cell r="Q61">
            <v>0</v>
          </cell>
        </row>
        <row r="63"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2</v>
          </cell>
          <cell r="I63">
            <v>2</v>
          </cell>
          <cell r="J63">
            <v>2</v>
          </cell>
          <cell r="K63">
            <v>2</v>
          </cell>
          <cell r="L63">
            <v>2</v>
          </cell>
          <cell r="M63">
            <v>2</v>
          </cell>
          <cell r="N63">
            <v>2</v>
          </cell>
          <cell r="O63">
            <v>2</v>
          </cell>
          <cell r="P63">
            <v>2</v>
          </cell>
          <cell r="Q63">
            <v>2</v>
          </cell>
        </row>
        <row r="64"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2</v>
          </cell>
          <cell r="M64">
            <v>0</v>
          </cell>
          <cell r="N64">
            <v>0</v>
          </cell>
          <cell r="O64">
            <v>0</v>
          </cell>
          <cell r="P64">
            <v>2</v>
          </cell>
          <cell r="Q64">
            <v>0</v>
          </cell>
        </row>
        <row r="66">
          <cell r="D66">
            <v>1</v>
          </cell>
          <cell r="E66">
            <v>1</v>
          </cell>
          <cell r="F66">
            <v>1</v>
          </cell>
          <cell r="G66">
            <v>1</v>
          </cell>
          <cell r="H66">
            <v>1</v>
          </cell>
          <cell r="I66">
            <v>1</v>
          </cell>
          <cell r="J66">
            <v>1</v>
          </cell>
          <cell r="K66">
            <v>1</v>
          </cell>
          <cell r="L66">
            <v>1</v>
          </cell>
          <cell r="M66">
            <v>1</v>
          </cell>
          <cell r="N66">
            <v>1</v>
          </cell>
          <cell r="O66">
            <v>1</v>
          </cell>
          <cell r="P66">
            <v>1</v>
          </cell>
          <cell r="Q66">
            <v>1</v>
          </cell>
        </row>
        <row r="67"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1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1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6104020_К9"/>
    </sheetNames>
    <sheetDataSet>
      <sheetData sheetId="0" refreshError="1">
        <row r="23">
          <cell r="G23">
            <v>316535.78999999998</v>
          </cell>
        </row>
        <row r="27">
          <cell r="G27">
            <v>221516.58</v>
          </cell>
        </row>
        <row r="31">
          <cell r="G31">
            <v>369904034.64999998</v>
          </cell>
        </row>
        <row r="35">
          <cell r="G35">
            <v>38982240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8004350_К9"/>
    </sheetNames>
    <sheetDataSet>
      <sheetData sheetId="0" refreshError="1">
        <row r="31">
          <cell r="F31">
            <v>33484098.210000001</v>
          </cell>
        </row>
        <row r="33">
          <cell r="F33">
            <v>710568.57</v>
          </cell>
        </row>
        <row r="35">
          <cell r="F35">
            <v>1178250.82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8004370_К9"/>
    </sheetNames>
    <sheetDataSet>
      <sheetData sheetId="0" refreshError="1">
        <row r="23">
          <cell r="F23">
            <v>2545102820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замена и ремонт_Заказчик "/>
      <sheetName val="замена1_КГЦМ"/>
      <sheetName val="замена2_КГЦМ"/>
    </sheetNames>
    <sheetDataSet>
      <sheetData sheetId="0"/>
      <sheetData sheetId="1">
        <row r="23">
          <cell r="D23">
            <v>1371.7214648390795</v>
          </cell>
        </row>
        <row r="27">
          <cell r="D27">
            <v>827.24505102318528</v>
          </cell>
        </row>
      </sheetData>
      <sheetData sheetId="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6104090_К9"/>
    </sheetNames>
    <sheetDataSet>
      <sheetData sheetId="0" refreshError="1">
        <row r="25">
          <cell r="G25">
            <v>61287780.259999998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6104070_К9"/>
    </sheetNames>
    <sheetDataSet>
      <sheetData sheetId="0" refreshError="1">
        <row r="25">
          <cell r="G25">
            <v>19978398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6104080_К9"/>
    </sheetNames>
    <sheetDataSet>
      <sheetData sheetId="0" refreshError="1">
        <row r="25">
          <cell r="G25">
            <v>11684926.439999999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6104130_К9"/>
    </sheetNames>
    <sheetDataSet>
      <sheetData sheetId="0" refreshError="1">
        <row r="25">
          <cell r="G25">
            <v>559310864.63999999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38"/>
  <sheetViews>
    <sheetView topLeftCell="A76" zoomScale="85" zoomScaleNormal="85" workbookViewId="0">
      <selection activeCell="G86" sqref="G86"/>
    </sheetView>
  </sheetViews>
  <sheetFormatPr defaultColWidth="9.109375" defaultRowHeight="13.8" x14ac:dyDescent="0.25"/>
  <cols>
    <col min="1" max="1" width="24.5546875" style="3" customWidth="1"/>
    <col min="2" max="2" width="21.6640625" style="3" customWidth="1"/>
    <col min="3" max="3" width="29.33203125" style="3" customWidth="1"/>
    <col min="4" max="4" width="17.109375" style="3" bestFit="1" customWidth="1"/>
    <col min="5" max="5" width="21.44140625" style="19" customWidth="1"/>
    <col min="6" max="6" width="16" style="22" customWidth="1"/>
    <col min="7" max="8" width="16" style="19" customWidth="1"/>
    <col min="9" max="9" width="20.44140625" style="3" customWidth="1"/>
    <col min="10" max="10" width="23.5546875" style="3" customWidth="1"/>
    <col min="11" max="16384" width="9.109375" style="3"/>
  </cols>
  <sheetData>
    <row r="1" spans="1:8" x14ac:dyDescent="0.25">
      <c r="A1" s="624" t="s">
        <v>24</v>
      </c>
      <c r="B1" s="624"/>
      <c r="C1" s="624"/>
      <c r="D1" s="624"/>
      <c r="E1" s="624"/>
      <c r="F1" s="624"/>
      <c r="G1" s="25"/>
      <c r="H1" s="25"/>
    </row>
    <row r="3" spans="1:8" x14ac:dyDescent="0.25">
      <c r="A3" s="599" t="s">
        <v>0</v>
      </c>
      <c r="B3" s="600"/>
      <c r="C3" s="600"/>
      <c r="D3" s="601"/>
      <c r="E3" s="589" t="s">
        <v>1</v>
      </c>
      <c r="F3" s="634" t="s">
        <v>98</v>
      </c>
      <c r="G3" s="634"/>
      <c r="H3" s="634"/>
    </row>
    <row r="4" spans="1:8" x14ac:dyDescent="0.25">
      <c r="A4" s="602"/>
      <c r="B4" s="603"/>
      <c r="C4" s="603"/>
      <c r="D4" s="604"/>
      <c r="E4" s="589"/>
      <c r="F4" s="5" t="s">
        <v>99</v>
      </c>
      <c r="G4" s="4" t="s">
        <v>100</v>
      </c>
      <c r="H4" s="4" t="s">
        <v>101</v>
      </c>
    </row>
    <row r="5" spans="1:8" ht="17.399999999999999" x14ac:dyDescent="0.25">
      <c r="A5" s="625" t="s">
        <v>7</v>
      </c>
      <c r="B5" s="625"/>
      <c r="C5" s="625"/>
      <c r="D5" s="625"/>
      <c r="E5" s="625"/>
      <c r="F5" s="625"/>
      <c r="G5" s="625"/>
      <c r="H5" s="625"/>
    </row>
    <row r="6" spans="1:8" x14ac:dyDescent="0.25">
      <c r="A6" s="605" t="s">
        <v>10</v>
      </c>
      <c r="B6" s="606"/>
      <c r="C6" s="606"/>
      <c r="D6" s="607"/>
      <c r="E6" s="1" t="s">
        <v>2</v>
      </c>
      <c r="F6" s="2">
        <v>7.54</v>
      </c>
      <c r="G6" s="1">
        <f>F6</f>
        <v>7.54</v>
      </c>
      <c r="H6" s="1">
        <f>G6</f>
        <v>7.54</v>
      </c>
    </row>
    <row r="7" spans="1:8" x14ac:dyDescent="0.25">
      <c r="A7" s="605" t="s">
        <v>11</v>
      </c>
      <c r="B7" s="606"/>
      <c r="C7" s="606"/>
      <c r="D7" s="607"/>
      <c r="E7" s="1" t="s">
        <v>2</v>
      </c>
      <c r="F7" s="2">
        <v>12.13</v>
      </c>
      <c r="G7" s="1">
        <f t="shared" ref="G7:H7" si="0">F7</f>
        <v>12.13</v>
      </c>
      <c r="H7" s="1">
        <f t="shared" si="0"/>
        <v>12.13</v>
      </c>
    </row>
    <row r="8" spans="1:8" ht="14.4" x14ac:dyDescent="0.25">
      <c r="A8" s="608" t="s">
        <v>134</v>
      </c>
      <c r="B8" s="592" t="str">
        <f>'П и Р для залежей'!A2</f>
        <v>Кам</v>
      </c>
      <c r="C8" s="585" t="s">
        <v>132</v>
      </c>
      <c r="D8" s="586"/>
      <c r="E8" s="17" t="s">
        <v>2</v>
      </c>
      <c r="F8" s="21">
        <f>'П и Р для залежей'!B2</f>
        <v>7</v>
      </c>
      <c r="G8" s="17">
        <f t="shared" ref="G8:H8" si="1">F8</f>
        <v>7</v>
      </c>
      <c r="H8" s="17">
        <f t="shared" si="1"/>
        <v>7</v>
      </c>
    </row>
    <row r="9" spans="1:8" ht="14.4" x14ac:dyDescent="0.25">
      <c r="A9" s="609"/>
      <c r="B9" s="594"/>
      <c r="C9" s="585" t="s">
        <v>133</v>
      </c>
      <c r="D9" s="586"/>
      <c r="E9" s="17" t="s">
        <v>2</v>
      </c>
      <c r="F9" s="21">
        <f>'П и Р для залежей'!C2</f>
        <v>12.2</v>
      </c>
      <c r="G9" s="17">
        <f t="shared" ref="G9:H9" si="2">F9</f>
        <v>12.2</v>
      </c>
      <c r="H9" s="17">
        <f t="shared" si="2"/>
        <v>12.2</v>
      </c>
    </row>
    <row r="10" spans="1:8" ht="14.4" x14ac:dyDescent="0.25">
      <c r="A10" s="609"/>
      <c r="B10" s="592" t="str">
        <f>'П и Р для залежей'!A3</f>
        <v>Талов</v>
      </c>
      <c r="C10" s="585" t="s">
        <v>132</v>
      </c>
      <c r="D10" s="586"/>
      <c r="E10" s="17" t="s">
        <v>2</v>
      </c>
      <c r="F10" s="21">
        <f>'П и Р для залежей'!B3</f>
        <v>7.72</v>
      </c>
      <c r="G10" s="17">
        <f t="shared" ref="G10:H10" si="3">F10</f>
        <v>7.72</v>
      </c>
      <c r="H10" s="17">
        <f t="shared" si="3"/>
        <v>7.72</v>
      </c>
    </row>
    <row r="11" spans="1:8" ht="14.4" x14ac:dyDescent="0.25">
      <c r="A11" s="609"/>
      <c r="B11" s="594"/>
      <c r="C11" s="585" t="s">
        <v>133</v>
      </c>
      <c r="D11" s="586"/>
      <c r="E11" s="17" t="s">
        <v>2</v>
      </c>
      <c r="F11" s="21">
        <f>'П и Р для залежей'!C3</f>
        <v>12.78</v>
      </c>
      <c r="G11" s="17">
        <f t="shared" ref="G11:H11" si="4">F11</f>
        <v>12.78</v>
      </c>
      <c r="H11" s="17">
        <f t="shared" si="4"/>
        <v>12.78</v>
      </c>
    </row>
    <row r="12" spans="1:8" ht="14.4" x14ac:dyDescent="0.25">
      <c r="A12" s="609"/>
      <c r="B12" s="592" t="str">
        <f>'П и Р для залежей'!A4</f>
        <v>Осн</v>
      </c>
      <c r="C12" s="585" t="s">
        <v>132</v>
      </c>
      <c r="D12" s="586"/>
      <c r="E12" s="17" t="s">
        <v>2</v>
      </c>
      <c r="F12" s="21">
        <f>'П и Р для залежей'!B4</f>
        <v>7.2</v>
      </c>
      <c r="G12" s="17">
        <f t="shared" ref="G12:H12" si="5">F12</f>
        <v>7.2</v>
      </c>
      <c r="H12" s="17">
        <f t="shared" si="5"/>
        <v>7.2</v>
      </c>
    </row>
    <row r="13" spans="1:8" ht="14.4" x14ac:dyDescent="0.25">
      <c r="A13" s="609"/>
      <c r="B13" s="594"/>
      <c r="C13" s="585" t="s">
        <v>133</v>
      </c>
      <c r="D13" s="586"/>
      <c r="E13" s="17" t="s">
        <v>2</v>
      </c>
      <c r="F13" s="21">
        <f>'П и Р для залежей'!C4</f>
        <v>12.9</v>
      </c>
      <c r="G13" s="17">
        <f t="shared" ref="G13:H13" si="6">F13</f>
        <v>12.9</v>
      </c>
      <c r="H13" s="17">
        <f t="shared" si="6"/>
        <v>12.9</v>
      </c>
    </row>
    <row r="14" spans="1:8" ht="14.4" x14ac:dyDescent="0.25">
      <c r="A14" s="609"/>
      <c r="B14" s="592" t="str">
        <f>'П и Р для залежей'!A5</f>
        <v>Промеж</v>
      </c>
      <c r="C14" s="585" t="s">
        <v>132</v>
      </c>
      <c r="D14" s="586"/>
      <c r="E14" s="17" t="s">
        <v>2</v>
      </c>
      <c r="F14" s="21">
        <f>'П и Р для залежей'!B5</f>
        <v>11.4</v>
      </c>
      <c r="G14" s="17">
        <f t="shared" ref="G14:H14" si="7">F14</f>
        <v>11.4</v>
      </c>
      <c r="H14" s="17">
        <f t="shared" si="7"/>
        <v>11.4</v>
      </c>
    </row>
    <row r="15" spans="1:8" ht="14.4" x14ac:dyDescent="0.25">
      <c r="A15" s="609"/>
      <c r="B15" s="594"/>
      <c r="C15" s="585" t="s">
        <v>133</v>
      </c>
      <c r="D15" s="586"/>
      <c r="E15" s="17" t="s">
        <v>2</v>
      </c>
      <c r="F15" s="21">
        <f>'П и Р для залежей'!C5</f>
        <v>13.6</v>
      </c>
      <c r="G15" s="17">
        <f t="shared" ref="G15:H15" si="8">F15</f>
        <v>13.6</v>
      </c>
      <c r="H15" s="17">
        <f t="shared" si="8"/>
        <v>13.6</v>
      </c>
    </row>
    <row r="16" spans="1:8" ht="14.4" x14ac:dyDescent="0.25">
      <c r="A16" s="609"/>
      <c r="B16" s="592" t="str">
        <f>'П и Р для залежей'!A6</f>
        <v>Восточ</v>
      </c>
      <c r="C16" s="585" t="s">
        <v>132</v>
      </c>
      <c r="D16" s="586"/>
      <c r="E16" s="17" t="s">
        <v>2</v>
      </c>
      <c r="F16" s="21">
        <f>'П и Р для залежей'!B6</f>
        <v>7.2</v>
      </c>
      <c r="G16" s="17">
        <f t="shared" ref="G16:H16" si="9">F16</f>
        <v>7.2</v>
      </c>
      <c r="H16" s="17">
        <f t="shared" si="9"/>
        <v>7.2</v>
      </c>
    </row>
    <row r="17" spans="1:8" ht="14.4" x14ac:dyDescent="0.25">
      <c r="A17" s="609"/>
      <c r="B17" s="594"/>
      <c r="C17" s="585" t="s">
        <v>133</v>
      </c>
      <c r="D17" s="586"/>
      <c r="E17" s="17" t="s">
        <v>2</v>
      </c>
      <c r="F17" s="21">
        <f>'П и Р для залежей'!C6</f>
        <v>12.3</v>
      </c>
      <c r="G17" s="17">
        <f t="shared" ref="G17:H17" si="10">F17</f>
        <v>12.3</v>
      </c>
      <c r="H17" s="17">
        <f t="shared" si="10"/>
        <v>12.3</v>
      </c>
    </row>
    <row r="18" spans="1:8" ht="14.4" x14ac:dyDescent="0.25">
      <c r="A18" s="609"/>
      <c r="B18" s="592" t="str">
        <f>'П и Р для залежей'!A7</f>
        <v>Юго-Вост</v>
      </c>
      <c r="C18" s="585" t="s">
        <v>132</v>
      </c>
      <c r="D18" s="586"/>
      <c r="E18" s="17" t="s">
        <v>2</v>
      </c>
      <c r="F18" s="21">
        <f>'П и Р для залежей'!B7</f>
        <v>6.2</v>
      </c>
      <c r="G18" s="17">
        <f t="shared" ref="G18:H18" si="11">F18</f>
        <v>6.2</v>
      </c>
      <c r="H18" s="17">
        <f t="shared" si="11"/>
        <v>6.2</v>
      </c>
    </row>
    <row r="19" spans="1:8" ht="14.4" x14ac:dyDescent="0.25">
      <c r="A19" s="609"/>
      <c r="B19" s="594"/>
      <c r="C19" s="585" t="s">
        <v>133</v>
      </c>
      <c r="D19" s="586"/>
      <c r="E19" s="17" t="s">
        <v>2</v>
      </c>
      <c r="F19" s="21">
        <f>'П и Р для залежей'!C7</f>
        <v>10.9</v>
      </c>
      <c r="G19" s="17">
        <f t="shared" ref="G19:H19" si="12">F19</f>
        <v>10.9</v>
      </c>
      <c r="H19" s="17">
        <f t="shared" si="12"/>
        <v>10.9</v>
      </c>
    </row>
    <row r="20" spans="1:8" ht="14.4" x14ac:dyDescent="0.25">
      <c r="A20" s="609"/>
      <c r="B20" s="592" t="str">
        <f>'П и Р для залежей'!A8</f>
        <v>Запад</v>
      </c>
      <c r="C20" s="585" t="s">
        <v>132</v>
      </c>
      <c r="D20" s="586"/>
      <c r="E20" s="17" t="s">
        <v>2</v>
      </c>
      <c r="F20" s="21">
        <f>'П и Р для залежей'!B8</f>
        <v>7.4</v>
      </c>
      <c r="G20" s="17">
        <f t="shared" ref="G20:H20" si="13">F20</f>
        <v>7.4</v>
      </c>
      <c r="H20" s="17">
        <f t="shared" si="13"/>
        <v>7.4</v>
      </c>
    </row>
    <row r="21" spans="1:8" ht="14.4" x14ac:dyDescent="0.25">
      <c r="A21" s="609"/>
      <c r="B21" s="594"/>
      <c r="C21" s="585" t="s">
        <v>133</v>
      </c>
      <c r="D21" s="586"/>
      <c r="E21" s="17" t="s">
        <v>2</v>
      </c>
      <c r="F21" s="21">
        <f>'П и Р для залежей'!C8</f>
        <v>11.3</v>
      </c>
      <c r="G21" s="17">
        <f t="shared" ref="G21:H21" si="14">F21</f>
        <v>11.3</v>
      </c>
      <c r="H21" s="17">
        <f t="shared" si="14"/>
        <v>11.3</v>
      </c>
    </row>
    <row r="22" spans="1:8" ht="14.4" x14ac:dyDescent="0.25">
      <c r="A22" s="609"/>
      <c r="B22" s="592" t="str">
        <f>'П и Р для залежей'!A9</f>
        <v>Центр</v>
      </c>
      <c r="C22" s="585" t="s">
        <v>132</v>
      </c>
      <c r="D22" s="586"/>
      <c r="E22" s="17" t="s">
        <v>2</v>
      </c>
      <c r="F22" s="21">
        <f>'П и Р для залежей'!B9</f>
        <v>7.4</v>
      </c>
      <c r="G22" s="17">
        <f t="shared" ref="G22:H22" si="15">F22</f>
        <v>7.4</v>
      </c>
      <c r="H22" s="17">
        <f t="shared" si="15"/>
        <v>7.4</v>
      </c>
    </row>
    <row r="23" spans="1:8" ht="14.4" x14ac:dyDescent="0.25">
      <c r="A23" s="629"/>
      <c r="B23" s="594"/>
      <c r="C23" s="585" t="s">
        <v>133</v>
      </c>
      <c r="D23" s="586"/>
      <c r="E23" s="17" t="s">
        <v>2</v>
      </c>
      <c r="F23" s="21">
        <f>'П и Р для залежей'!C9</f>
        <v>11.3</v>
      </c>
      <c r="G23" s="17">
        <f t="shared" ref="G23:H23" si="16">F23</f>
        <v>11.3</v>
      </c>
      <c r="H23" s="17">
        <f t="shared" si="16"/>
        <v>11.3</v>
      </c>
    </row>
    <row r="24" spans="1:8" ht="17.399999999999999" x14ac:dyDescent="0.25">
      <c r="A24" s="625" t="s">
        <v>8</v>
      </c>
      <c r="B24" s="625"/>
      <c r="C24" s="625"/>
      <c r="D24" s="625"/>
      <c r="E24" s="625"/>
      <c r="F24" s="625"/>
      <c r="G24" s="625"/>
      <c r="H24" s="625"/>
    </row>
    <row r="25" spans="1:8" x14ac:dyDescent="0.25">
      <c r="A25" s="614" t="s">
        <v>12</v>
      </c>
      <c r="B25" s="615"/>
      <c r="C25" s="615"/>
      <c r="D25" s="615"/>
      <c r="E25" s="615"/>
      <c r="F25" s="615"/>
      <c r="G25" s="615"/>
      <c r="H25" s="616"/>
    </row>
    <row r="26" spans="1:8" ht="14.4" x14ac:dyDescent="0.25">
      <c r="A26" s="630" t="s">
        <v>22</v>
      </c>
      <c r="B26" s="605" t="s">
        <v>13</v>
      </c>
      <c r="C26" s="606"/>
      <c r="D26" s="607"/>
      <c r="E26" s="6"/>
      <c r="F26" s="6"/>
      <c r="G26" s="6"/>
      <c r="H26" s="6"/>
    </row>
    <row r="27" spans="1:8" ht="14.4" x14ac:dyDescent="0.25">
      <c r="A27" s="631"/>
      <c r="B27" s="617" t="s">
        <v>14</v>
      </c>
      <c r="C27" s="618"/>
      <c r="D27" s="619"/>
      <c r="E27" s="6" t="s">
        <v>2</v>
      </c>
      <c r="F27" s="6">
        <f>'Данные по переработке'!B3</f>
        <v>7.15</v>
      </c>
      <c r="G27" s="17"/>
      <c r="H27" s="17"/>
    </row>
    <row r="28" spans="1:8" ht="14.4" x14ac:dyDescent="0.25">
      <c r="A28" s="631"/>
      <c r="B28" s="617" t="s">
        <v>15</v>
      </c>
      <c r="C28" s="618"/>
      <c r="D28" s="619"/>
      <c r="E28" s="6" t="s">
        <v>2</v>
      </c>
      <c r="F28" s="6">
        <f>'Данные по переработке'!H3</f>
        <v>87.65</v>
      </c>
      <c r="G28" s="17"/>
      <c r="H28" s="17"/>
    </row>
    <row r="29" spans="1:8" ht="14.4" x14ac:dyDescent="0.25">
      <c r="A29" s="631"/>
      <c r="B29" s="617" t="s">
        <v>16</v>
      </c>
      <c r="C29" s="618"/>
      <c r="D29" s="619"/>
      <c r="E29" s="6" t="s">
        <v>2</v>
      </c>
      <c r="F29" s="6">
        <f>'Данные по переработке'!K3</f>
        <v>49</v>
      </c>
      <c r="G29" s="17"/>
      <c r="H29" s="17"/>
    </row>
    <row r="30" spans="1:8" ht="14.4" x14ac:dyDescent="0.25">
      <c r="A30" s="631"/>
      <c r="B30" s="617" t="s">
        <v>17</v>
      </c>
      <c r="C30" s="618"/>
      <c r="D30" s="619"/>
      <c r="E30" s="6" t="s">
        <v>2</v>
      </c>
      <c r="F30" s="6">
        <f>'Данные по переработке'!L3</f>
        <v>58.27</v>
      </c>
      <c r="G30" s="17"/>
      <c r="H30" s="17"/>
    </row>
    <row r="31" spans="1:8" ht="14.4" x14ac:dyDescent="0.25">
      <c r="A31" s="631"/>
      <c r="B31" s="620" t="s">
        <v>135</v>
      </c>
      <c r="C31" s="621"/>
      <c r="D31" s="622"/>
      <c r="E31" s="63" t="s">
        <v>2</v>
      </c>
      <c r="F31" s="63">
        <f>'Данные по переработке'!J3</f>
        <v>5.64</v>
      </c>
      <c r="G31" s="64"/>
      <c r="H31" s="64"/>
    </row>
    <row r="32" spans="1:8" ht="14.4" x14ac:dyDescent="0.25">
      <c r="A32" s="631"/>
      <c r="B32" s="620" t="s">
        <v>136</v>
      </c>
      <c r="C32" s="621"/>
      <c r="D32" s="622"/>
      <c r="E32" s="63" t="s">
        <v>2</v>
      </c>
      <c r="F32" s="63">
        <f>'Данные по переработке'!I3</f>
        <v>16.47</v>
      </c>
      <c r="G32" s="64"/>
      <c r="H32" s="64"/>
    </row>
    <row r="33" spans="1:8" ht="14.4" x14ac:dyDescent="0.25">
      <c r="A33" s="631"/>
      <c r="B33" s="605" t="s">
        <v>18</v>
      </c>
      <c r="C33" s="606"/>
      <c r="D33" s="607"/>
      <c r="E33" s="6"/>
      <c r="F33" s="2"/>
      <c r="G33" s="26"/>
      <c r="H33" s="26"/>
    </row>
    <row r="34" spans="1:8" ht="14.4" x14ac:dyDescent="0.25">
      <c r="A34" s="631"/>
      <c r="B34" s="617" t="s">
        <v>14</v>
      </c>
      <c r="C34" s="618"/>
      <c r="D34" s="619"/>
      <c r="E34" s="2" t="s">
        <v>2</v>
      </c>
      <c r="F34" s="2">
        <f>'Данные по переработке'!B5</f>
        <v>8.14</v>
      </c>
      <c r="G34" s="26"/>
      <c r="H34" s="26"/>
    </row>
    <row r="35" spans="1:8" ht="14.4" x14ac:dyDescent="0.25">
      <c r="A35" s="631"/>
      <c r="B35" s="617" t="s">
        <v>19</v>
      </c>
      <c r="C35" s="618"/>
      <c r="D35" s="619"/>
      <c r="E35" s="2" t="s">
        <v>2</v>
      </c>
      <c r="F35" s="2">
        <f>'Данные по переработке'!J5</f>
        <v>85.04</v>
      </c>
      <c r="G35" s="26"/>
      <c r="H35" s="26"/>
    </row>
    <row r="36" spans="1:8" ht="15" customHeight="1" x14ac:dyDescent="0.25">
      <c r="A36" s="631"/>
      <c r="B36" s="620" t="s">
        <v>16</v>
      </c>
      <c r="C36" s="621"/>
      <c r="D36" s="622"/>
      <c r="E36" s="63" t="s">
        <v>2</v>
      </c>
      <c r="F36" s="63">
        <f>'Данные по переработке'!K5</f>
        <v>8.84</v>
      </c>
      <c r="G36" s="64"/>
      <c r="H36" s="64"/>
    </row>
    <row r="37" spans="1:8" ht="14.25" customHeight="1" x14ac:dyDescent="0.25">
      <c r="A37" s="631"/>
      <c r="B37" s="620" t="s">
        <v>17</v>
      </c>
      <c r="C37" s="621"/>
      <c r="D37" s="622"/>
      <c r="E37" s="63" t="s">
        <v>2</v>
      </c>
      <c r="F37" s="63">
        <f>'Данные по переработке'!L5</f>
        <v>11.15</v>
      </c>
      <c r="G37" s="64"/>
      <c r="H37" s="64"/>
    </row>
    <row r="38" spans="1:8" ht="14.4" x14ac:dyDescent="0.25">
      <c r="A38" s="631"/>
      <c r="B38" s="620" t="s">
        <v>137</v>
      </c>
      <c r="C38" s="621"/>
      <c r="D38" s="622"/>
      <c r="E38" s="63" t="s">
        <v>2</v>
      </c>
      <c r="F38" s="63">
        <f>'Данные по переработке'!H5</f>
        <v>4.26</v>
      </c>
      <c r="G38" s="64"/>
      <c r="H38" s="64"/>
    </row>
    <row r="39" spans="1:8" ht="14.4" x14ac:dyDescent="0.25">
      <c r="A39" s="631"/>
      <c r="B39" s="620" t="s">
        <v>136</v>
      </c>
      <c r="C39" s="621"/>
      <c r="D39" s="622"/>
      <c r="E39" s="63" t="s">
        <v>2</v>
      </c>
      <c r="F39" s="63">
        <f>'Данные по переработке'!I5</f>
        <v>9.9499999999999993</v>
      </c>
      <c r="G39" s="64"/>
      <c r="H39" s="64"/>
    </row>
    <row r="40" spans="1:8" ht="14.4" x14ac:dyDescent="0.25">
      <c r="A40" s="631"/>
      <c r="B40" s="605" t="s">
        <v>20</v>
      </c>
      <c r="C40" s="606"/>
      <c r="D40" s="607"/>
      <c r="E40" s="6"/>
      <c r="F40" s="2"/>
      <c r="G40" s="26"/>
      <c r="H40" s="26"/>
    </row>
    <row r="41" spans="1:8" ht="14.4" x14ac:dyDescent="0.25">
      <c r="A41" s="631"/>
      <c r="B41" s="617" t="s">
        <v>14</v>
      </c>
      <c r="C41" s="618"/>
      <c r="D41" s="619"/>
      <c r="E41" s="2" t="s">
        <v>2</v>
      </c>
      <c r="F41" s="2">
        <f>'Данные по переработке'!B4</f>
        <v>2.02</v>
      </c>
      <c r="G41" s="26"/>
      <c r="H41" s="26"/>
    </row>
    <row r="42" spans="1:8" ht="14.4" x14ac:dyDescent="0.25">
      <c r="A42" s="631"/>
      <c r="B42" s="617" t="s">
        <v>21</v>
      </c>
      <c r="C42" s="618"/>
      <c r="D42" s="619"/>
      <c r="E42" s="2" t="s">
        <v>2</v>
      </c>
      <c r="F42" s="2">
        <f>'Данные по переработке'!I4</f>
        <v>65.239999999999995</v>
      </c>
      <c r="G42" s="26"/>
      <c r="H42" s="26"/>
    </row>
    <row r="43" spans="1:8" ht="14.4" x14ac:dyDescent="0.25">
      <c r="A43" s="631"/>
      <c r="B43" s="617" t="s">
        <v>16</v>
      </c>
      <c r="C43" s="618"/>
      <c r="D43" s="619"/>
      <c r="E43" s="2" t="s">
        <v>2</v>
      </c>
      <c r="F43" s="2">
        <f>'Данные по переработке'!K4</f>
        <v>14.04</v>
      </c>
      <c r="G43" s="26"/>
      <c r="H43" s="26"/>
    </row>
    <row r="44" spans="1:8" ht="14.4" x14ac:dyDescent="0.25">
      <c r="A44" s="631"/>
      <c r="B44" s="617" t="s">
        <v>17</v>
      </c>
      <c r="C44" s="618"/>
      <c r="D44" s="619"/>
      <c r="E44" s="2" t="s">
        <v>2</v>
      </c>
      <c r="F44" s="2">
        <f>'Данные по переработке'!L4</f>
        <v>9.3000000000000007</v>
      </c>
      <c r="G44" s="26"/>
      <c r="H44" s="26"/>
    </row>
    <row r="45" spans="1:8" ht="14.4" x14ac:dyDescent="0.25">
      <c r="A45" s="631"/>
      <c r="B45" s="620" t="s">
        <v>137</v>
      </c>
      <c r="C45" s="621"/>
      <c r="D45" s="622"/>
      <c r="E45" s="63" t="s">
        <v>2</v>
      </c>
      <c r="F45" s="63">
        <f>'Данные по переработке'!H4</f>
        <v>4.32</v>
      </c>
      <c r="G45" s="64"/>
      <c r="H45" s="64"/>
    </row>
    <row r="46" spans="1:8" ht="14.4" x14ac:dyDescent="0.25">
      <c r="A46" s="632"/>
      <c r="B46" s="620" t="s">
        <v>135</v>
      </c>
      <c r="C46" s="621"/>
      <c r="D46" s="622"/>
      <c r="E46" s="63" t="s">
        <v>2</v>
      </c>
      <c r="F46" s="63">
        <f>'Данные по переработке'!J4</f>
        <v>4.37</v>
      </c>
      <c r="G46" s="64"/>
      <c r="H46" s="64"/>
    </row>
    <row r="47" spans="1:8" ht="14.4" x14ac:dyDescent="0.25">
      <c r="A47" s="627" t="s">
        <v>23</v>
      </c>
      <c r="B47" s="623" t="s">
        <v>25</v>
      </c>
      <c r="C47" s="585"/>
      <c r="D47" s="586"/>
      <c r="E47" s="2" t="s">
        <v>2</v>
      </c>
      <c r="F47" s="2">
        <v>93.5</v>
      </c>
      <c r="G47" s="26"/>
      <c r="H47" s="26"/>
    </row>
    <row r="48" spans="1:8" ht="14.4" x14ac:dyDescent="0.25">
      <c r="A48" s="627"/>
      <c r="B48" s="623" t="s">
        <v>26</v>
      </c>
      <c r="C48" s="585"/>
      <c r="D48" s="586"/>
      <c r="E48" s="2" t="s">
        <v>2</v>
      </c>
      <c r="F48" s="2">
        <v>91</v>
      </c>
      <c r="G48" s="26"/>
      <c r="H48" s="26"/>
    </row>
    <row r="49" spans="1:10" ht="14.4" x14ac:dyDescent="0.25">
      <c r="A49" s="627"/>
      <c r="B49" s="623" t="s">
        <v>27</v>
      </c>
      <c r="C49" s="585"/>
      <c r="D49" s="586"/>
      <c r="E49" s="2" t="s">
        <v>2</v>
      </c>
      <c r="F49" s="2">
        <v>90</v>
      </c>
      <c r="G49" s="26"/>
      <c r="H49" s="26"/>
    </row>
    <row r="50" spans="1:10" ht="17.399999999999999" x14ac:dyDescent="0.25">
      <c r="A50" s="625" t="s">
        <v>9</v>
      </c>
      <c r="B50" s="625"/>
      <c r="C50" s="625"/>
      <c r="D50" s="625"/>
      <c r="E50" s="625"/>
      <c r="F50" s="625"/>
      <c r="G50" s="625"/>
      <c r="H50" s="625"/>
    </row>
    <row r="51" spans="1:10" x14ac:dyDescent="0.25">
      <c r="A51" s="628" t="s">
        <v>31</v>
      </c>
      <c r="B51" s="628"/>
      <c r="C51" s="628"/>
      <c r="D51" s="628"/>
      <c r="E51" s="628"/>
      <c r="F51" s="628"/>
      <c r="G51" s="628"/>
      <c r="H51" s="628"/>
    </row>
    <row r="52" spans="1:10" ht="16.5" customHeight="1" x14ac:dyDescent="0.25">
      <c r="A52" s="596" t="s">
        <v>28</v>
      </c>
      <c r="B52" s="623" t="s">
        <v>25</v>
      </c>
      <c r="C52" s="585"/>
      <c r="D52" s="586"/>
      <c r="E52" s="6" t="s">
        <v>115</v>
      </c>
      <c r="F52" s="36">
        <v>8084</v>
      </c>
      <c r="G52" s="36">
        <f t="shared" ref="G52:H52" si="17">F52</f>
        <v>8084</v>
      </c>
      <c r="H52" s="36">
        <f t="shared" si="17"/>
        <v>8084</v>
      </c>
      <c r="J52" s="49"/>
    </row>
    <row r="53" spans="1:10" ht="16.5" customHeight="1" x14ac:dyDescent="0.25">
      <c r="A53" s="597"/>
      <c r="B53" s="623" t="s">
        <v>26</v>
      </c>
      <c r="C53" s="585"/>
      <c r="D53" s="586"/>
      <c r="E53" s="6" t="s">
        <v>116</v>
      </c>
      <c r="F53" s="36">
        <v>1898.67</v>
      </c>
      <c r="G53" s="36">
        <f t="shared" ref="G53:H53" si="18">F53</f>
        <v>1898.67</v>
      </c>
      <c r="H53" s="36">
        <f t="shared" si="18"/>
        <v>1898.67</v>
      </c>
    </row>
    <row r="54" spans="1:10" ht="16.5" customHeight="1" x14ac:dyDescent="0.25">
      <c r="A54" s="597"/>
      <c r="B54" s="623" t="s">
        <v>27</v>
      </c>
      <c r="C54" s="585"/>
      <c r="D54" s="586"/>
      <c r="E54" s="6" t="s">
        <v>116</v>
      </c>
      <c r="F54" s="36">
        <v>22.56</v>
      </c>
      <c r="G54" s="36">
        <f t="shared" ref="G54:H54" si="19">F54</f>
        <v>22.56</v>
      </c>
      <c r="H54" s="36">
        <f t="shared" si="19"/>
        <v>22.56</v>
      </c>
    </row>
    <row r="55" spans="1:10" ht="16.5" customHeight="1" x14ac:dyDescent="0.25">
      <c r="A55" s="597"/>
      <c r="B55" s="623" t="s">
        <v>29</v>
      </c>
      <c r="C55" s="585"/>
      <c r="D55" s="586"/>
      <c r="E55" s="6" t="s">
        <v>115</v>
      </c>
      <c r="F55" s="36">
        <v>1482.08</v>
      </c>
      <c r="G55" s="36">
        <f t="shared" ref="G55:H55" si="20">F55</f>
        <v>1482.08</v>
      </c>
      <c r="H55" s="36">
        <f t="shared" si="20"/>
        <v>1482.08</v>
      </c>
    </row>
    <row r="56" spans="1:10" ht="18.75" customHeight="1" x14ac:dyDescent="0.25">
      <c r="A56" s="597"/>
      <c r="B56" s="623" t="s">
        <v>30</v>
      </c>
      <c r="C56" s="585"/>
      <c r="D56" s="586"/>
      <c r="E56" s="6" t="s">
        <v>115</v>
      </c>
      <c r="F56" s="36">
        <v>1998.51</v>
      </c>
      <c r="G56" s="36">
        <f t="shared" ref="G56:H56" si="21">F56</f>
        <v>1998.51</v>
      </c>
      <c r="H56" s="36">
        <f t="shared" si="21"/>
        <v>1998.51</v>
      </c>
    </row>
    <row r="57" spans="1:10" ht="18.75" customHeight="1" x14ac:dyDescent="0.25">
      <c r="A57" s="597"/>
      <c r="B57" s="623" t="s">
        <v>164</v>
      </c>
      <c r="C57" s="585"/>
      <c r="D57" s="586"/>
      <c r="E57" s="6" t="s">
        <v>116</v>
      </c>
      <c r="F57" s="24"/>
      <c r="G57" s="6"/>
      <c r="H57" s="6"/>
    </row>
    <row r="58" spans="1:10" ht="18.75" customHeight="1" x14ac:dyDescent="0.25">
      <c r="A58" s="598"/>
      <c r="B58" s="623" t="s">
        <v>165</v>
      </c>
      <c r="C58" s="585"/>
      <c r="D58" s="586"/>
      <c r="E58" s="6" t="s">
        <v>116</v>
      </c>
      <c r="F58" s="24"/>
      <c r="G58" s="6"/>
      <c r="H58" s="6"/>
    </row>
    <row r="59" spans="1:10" x14ac:dyDescent="0.25">
      <c r="A59" s="626" t="s">
        <v>161</v>
      </c>
      <c r="B59" s="626"/>
      <c r="C59" s="626"/>
      <c r="D59" s="626"/>
      <c r="E59" s="626"/>
      <c r="F59" s="626"/>
      <c r="G59" s="626"/>
      <c r="H59" s="626"/>
    </row>
    <row r="60" spans="1:10" x14ac:dyDescent="0.25">
      <c r="A60" s="614" t="s">
        <v>32</v>
      </c>
      <c r="B60" s="615"/>
      <c r="C60" s="615"/>
      <c r="D60" s="616"/>
      <c r="E60" s="7" t="s">
        <v>45</v>
      </c>
      <c r="F60" s="39">
        <v>65.599999999999994</v>
      </c>
      <c r="G60" s="51">
        <f t="shared" ref="G60:H60" si="22">F60</f>
        <v>65.599999999999994</v>
      </c>
      <c r="H60" s="51">
        <f t="shared" si="22"/>
        <v>65.599999999999994</v>
      </c>
      <c r="J60" s="49"/>
    </row>
    <row r="61" spans="1:10" ht="16.2" x14ac:dyDescent="0.25">
      <c r="A61" s="637" t="s">
        <v>33</v>
      </c>
      <c r="B61" s="623" t="s">
        <v>34</v>
      </c>
      <c r="C61" s="585"/>
      <c r="D61" s="586"/>
      <c r="E61" s="2" t="s">
        <v>35</v>
      </c>
      <c r="F61" s="37">
        <v>118.5</v>
      </c>
      <c r="G61" s="52">
        <f t="shared" ref="G61:H61" si="23">F61</f>
        <v>118.5</v>
      </c>
      <c r="H61" s="52">
        <f t="shared" si="23"/>
        <v>118.5</v>
      </c>
      <c r="J61" s="49"/>
    </row>
    <row r="62" spans="1:10" ht="14.4" x14ac:dyDescent="0.25">
      <c r="A62" s="638"/>
      <c r="B62" s="623" t="s">
        <v>36</v>
      </c>
      <c r="C62" s="585"/>
      <c r="D62" s="586"/>
      <c r="E62" s="2" t="s">
        <v>45</v>
      </c>
      <c r="F62" s="37">
        <v>14.98</v>
      </c>
      <c r="G62" s="52">
        <f t="shared" ref="G62:H62" si="24">F62</f>
        <v>14.98</v>
      </c>
      <c r="H62" s="52">
        <f t="shared" si="24"/>
        <v>14.98</v>
      </c>
      <c r="J62" s="49"/>
    </row>
    <row r="63" spans="1:10" ht="16.2" x14ac:dyDescent="0.25">
      <c r="A63" s="638"/>
      <c r="B63" s="623" t="s">
        <v>139</v>
      </c>
      <c r="C63" s="585"/>
      <c r="D63" s="586"/>
      <c r="E63" s="2" t="s">
        <v>35</v>
      </c>
      <c r="F63" s="37">
        <v>27.73</v>
      </c>
      <c r="G63" s="52">
        <f t="shared" ref="G63:H63" si="25">F63</f>
        <v>27.73</v>
      </c>
      <c r="H63" s="52">
        <f t="shared" si="25"/>
        <v>27.73</v>
      </c>
      <c r="J63" s="49"/>
    </row>
    <row r="64" spans="1:10" ht="14.4" x14ac:dyDescent="0.25">
      <c r="A64" s="638"/>
      <c r="B64" s="623" t="s">
        <v>37</v>
      </c>
      <c r="C64" s="585"/>
      <c r="D64" s="586"/>
      <c r="E64" s="2" t="s">
        <v>39</v>
      </c>
      <c r="F64" s="37">
        <v>60.39</v>
      </c>
      <c r="G64" s="52">
        <f t="shared" ref="G64:H64" si="26">F64</f>
        <v>60.39</v>
      </c>
      <c r="H64" s="52">
        <f t="shared" si="26"/>
        <v>60.39</v>
      </c>
      <c r="J64" s="49"/>
    </row>
    <row r="65" spans="1:11" ht="14.4" x14ac:dyDescent="0.25">
      <c r="A65" s="638"/>
      <c r="B65" s="590" t="s">
        <v>138</v>
      </c>
      <c r="C65" s="623" t="s">
        <v>140</v>
      </c>
      <c r="D65" s="586"/>
      <c r="E65" s="2" t="s">
        <v>45</v>
      </c>
      <c r="F65" s="37">
        <v>15.37</v>
      </c>
      <c r="G65" s="52">
        <f t="shared" ref="G65:H65" si="27">F65</f>
        <v>15.37</v>
      </c>
      <c r="H65" s="52">
        <f t="shared" si="27"/>
        <v>15.37</v>
      </c>
      <c r="J65" s="49"/>
    </row>
    <row r="66" spans="1:11" ht="14.4" x14ac:dyDescent="0.25">
      <c r="A66" s="638"/>
      <c r="B66" s="591"/>
      <c r="C66" s="623" t="s">
        <v>141</v>
      </c>
      <c r="D66" s="586"/>
      <c r="E66" s="2" t="s">
        <v>45</v>
      </c>
      <c r="F66" s="37">
        <v>9.02</v>
      </c>
      <c r="G66" s="52">
        <f t="shared" ref="G66:H66" si="28">F66</f>
        <v>9.02</v>
      </c>
      <c r="H66" s="52">
        <f t="shared" si="28"/>
        <v>9.02</v>
      </c>
      <c r="J66" s="49"/>
    </row>
    <row r="67" spans="1:11" ht="14.4" x14ac:dyDescent="0.25">
      <c r="A67" s="639"/>
      <c r="B67" s="623" t="s">
        <v>38</v>
      </c>
      <c r="C67" s="585"/>
      <c r="D67" s="586"/>
      <c r="E67" s="2" t="s">
        <v>45</v>
      </c>
      <c r="F67" s="37">
        <v>9.59</v>
      </c>
      <c r="G67" s="52">
        <f t="shared" ref="G67:H67" si="29">F67</f>
        <v>9.59</v>
      </c>
      <c r="H67" s="52">
        <f t="shared" si="29"/>
        <v>9.59</v>
      </c>
      <c r="J67" s="49"/>
    </row>
    <row r="68" spans="1:11" x14ac:dyDescent="0.25">
      <c r="A68" s="614" t="s">
        <v>40</v>
      </c>
      <c r="B68" s="615"/>
      <c r="C68" s="615"/>
      <c r="D68" s="616"/>
      <c r="E68" s="7" t="s">
        <v>45</v>
      </c>
      <c r="F68" s="7"/>
      <c r="G68" s="27"/>
      <c r="H68" s="27"/>
    </row>
    <row r="69" spans="1:11" x14ac:dyDescent="0.25">
      <c r="A69" s="642" t="s">
        <v>33</v>
      </c>
      <c r="B69" s="615" t="s">
        <v>41</v>
      </c>
      <c r="C69" s="615"/>
      <c r="D69" s="616"/>
      <c r="E69" s="7" t="s">
        <v>45</v>
      </c>
      <c r="F69" s="39">
        <v>29.73</v>
      </c>
      <c r="G69" s="51">
        <f t="shared" ref="G69:H69" si="30">F69</f>
        <v>29.73</v>
      </c>
      <c r="H69" s="51">
        <f t="shared" si="30"/>
        <v>29.73</v>
      </c>
    </row>
    <row r="70" spans="1:11" ht="14.4" x14ac:dyDescent="0.25">
      <c r="A70" s="643"/>
      <c r="B70" s="592" t="s">
        <v>142</v>
      </c>
      <c r="C70" s="623" t="s">
        <v>42</v>
      </c>
      <c r="D70" s="586"/>
      <c r="E70" s="6" t="s">
        <v>45</v>
      </c>
      <c r="F70" s="41">
        <v>21.45</v>
      </c>
      <c r="G70" s="53">
        <f t="shared" ref="G70:H70" si="31">F70</f>
        <v>21.45</v>
      </c>
      <c r="H70" s="53">
        <f t="shared" si="31"/>
        <v>21.45</v>
      </c>
      <c r="J70" s="49"/>
    </row>
    <row r="71" spans="1:11" ht="14.4" x14ac:dyDescent="0.25">
      <c r="A71" s="643"/>
      <c r="B71" s="610"/>
      <c r="C71" s="585" t="s">
        <v>43</v>
      </c>
      <c r="D71" s="586"/>
      <c r="E71" s="6" t="s">
        <v>45</v>
      </c>
      <c r="F71" s="41">
        <v>6.29</v>
      </c>
      <c r="G71" s="53">
        <f t="shared" ref="G71:H71" si="32">F71</f>
        <v>6.29</v>
      </c>
      <c r="H71" s="53">
        <f t="shared" si="32"/>
        <v>6.29</v>
      </c>
    </row>
    <row r="72" spans="1:11" ht="13.5" customHeight="1" x14ac:dyDescent="0.25">
      <c r="A72" s="643"/>
      <c r="B72" s="594"/>
      <c r="C72" s="585" t="s">
        <v>44</v>
      </c>
      <c r="D72" s="586"/>
      <c r="E72" s="6" t="s">
        <v>45</v>
      </c>
      <c r="F72" s="41">
        <v>1.99</v>
      </c>
      <c r="G72" s="53">
        <f t="shared" ref="G72:H73" si="33">F72</f>
        <v>1.99</v>
      </c>
      <c r="H72" s="53">
        <f t="shared" si="33"/>
        <v>1.99</v>
      </c>
      <c r="J72" s="40"/>
    </row>
    <row r="73" spans="1:11" ht="31.5" customHeight="1" x14ac:dyDescent="0.25">
      <c r="A73" s="643"/>
      <c r="B73" s="592" t="s">
        <v>23</v>
      </c>
      <c r="C73" s="592" t="s">
        <v>47</v>
      </c>
      <c r="D73" s="593"/>
      <c r="E73" s="6" t="s">
        <v>45</v>
      </c>
      <c r="F73" s="41">
        <v>0.9</v>
      </c>
      <c r="G73" s="53">
        <f t="shared" si="33"/>
        <v>0.9</v>
      </c>
      <c r="H73" s="53">
        <f t="shared" si="33"/>
        <v>0.9</v>
      </c>
    </row>
    <row r="74" spans="1:11" ht="31.5" customHeight="1" x14ac:dyDescent="0.25">
      <c r="A74" s="643"/>
      <c r="B74" s="610"/>
      <c r="C74" s="594"/>
      <c r="D74" s="595"/>
      <c r="E74" s="6" t="s">
        <v>46</v>
      </c>
      <c r="F74" s="41">
        <v>15.08</v>
      </c>
      <c r="G74" s="53">
        <f t="shared" ref="G74:H74" si="34">F74</f>
        <v>15.08</v>
      </c>
      <c r="H74" s="53">
        <f t="shared" si="34"/>
        <v>15.08</v>
      </c>
    </row>
    <row r="75" spans="1:11" ht="14.4" x14ac:dyDescent="0.25">
      <c r="A75" s="643"/>
      <c r="B75" s="610"/>
      <c r="C75" s="585" t="s">
        <v>48</v>
      </c>
      <c r="D75" s="586"/>
      <c r="E75" s="6" t="s">
        <v>46</v>
      </c>
      <c r="F75" s="41">
        <v>96.15</v>
      </c>
      <c r="G75" s="53">
        <f t="shared" ref="G75:H75" si="35">F75</f>
        <v>96.15</v>
      </c>
      <c r="H75" s="53">
        <f t="shared" si="35"/>
        <v>96.15</v>
      </c>
    </row>
    <row r="76" spans="1:11" ht="14.4" x14ac:dyDescent="0.25">
      <c r="A76" s="643"/>
      <c r="B76" s="610"/>
      <c r="C76" s="585" t="s">
        <v>49</v>
      </c>
      <c r="D76" s="586"/>
      <c r="E76" s="38" t="s">
        <v>170</v>
      </c>
      <c r="F76" s="66">
        <v>0.21</v>
      </c>
      <c r="G76" s="67">
        <f t="shared" ref="G76:H76" si="36">F76</f>
        <v>0.21</v>
      </c>
      <c r="H76" s="67">
        <f t="shared" si="36"/>
        <v>0.21</v>
      </c>
    </row>
    <row r="77" spans="1:11" ht="14.4" x14ac:dyDescent="0.25">
      <c r="A77" s="643"/>
      <c r="B77" s="610"/>
      <c r="C77" s="585" t="s">
        <v>51</v>
      </c>
      <c r="D77" s="586"/>
      <c r="E77" s="6" t="s">
        <v>53</v>
      </c>
      <c r="F77" s="41">
        <v>0.19</v>
      </c>
      <c r="G77" s="53">
        <f t="shared" ref="G77:H77" si="37">F77</f>
        <v>0.19</v>
      </c>
      <c r="H77" s="53">
        <f t="shared" si="37"/>
        <v>0.19</v>
      </c>
    </row>
    <row r="78" spans="1:11" ht="14.4" x14ac:dyDescent="0.25">
      <c r="A78" s="643"/>
      <c r="B78" s="610"/>
      <c r="C78" s="585" t="s">
        <v>52</v>
      </c>
      <c r="D78" s="586"/>
      <c r="E78" s="6" t="s">
        <v>53</v>
      </c>
      <c r="F78" s="41">
        <v>1.2999999999999999E-2</v>
      </c>
      <c r="G78" s="53">
        <f t="shared" ref="G78:H78" si="38">F78</f>
        <v>1.2999999999999999E-2</v>
      </c>
      <c r="H78" s="53">
        <f t="shared" si="38"/>
        <v>1.2999999999999999E-2</v>
      </c>
      <c r="J78" s="49"/>
      <c r="K78" s="49"/>
    </row>
    <row r="79" spans="1:11" ht="14.4" customHeight="1" x14ac:dyDescent="0.25">
      <c r="A79" s="643"/>
      <c r="B79" s="610" t="s">
        <v>54</v>
      </c>
      <c r="C79" s="585" t="s">
        <v>55</v>
      </c>
      <c r="D79" s="586"/>
      <c r="E79" s="6" t="s">
        <v>50</v>
      </c>
      <c r="F79" s="54">
        <f>'[1]п.15 Перев., реализация'!$E$21</f>
        <v>58.031373997721161</v>
      </c>
      <c r="G79" s="54">
        <f t="shared" ref="G79:H79" si="39">F79</f>
        <v>58.031373997721161</v>
      </c>
      <c r="H79" s="54">
        <f t="shared" si="39"/>
        <v>58.031373997721161</v>
      </c>
    </row>
    <row r="80" spans="1:11" ht="14.4" x14ac:dyDescent="0.25">
      <c r="A80" s="643"/>
      <c r="B80" s="610"/>
      <c r="C80" s="585" t="s">
        <v>56</v>
      </c>
      <c r="D80" s="586"/>
      <c r="E80" s="6" t="s">
        <v>50</v>
      </c>
      <c r="F80" s="54">
        <f>'[1]п.15 Перев., реализация'!$D$21</f>
        <v>41.744224854775176</v>
      </c>
      <c r="G80" s="54">
        <f t="shared" ref="G80:H80" si="40">F80</f>
        <v>41.744224854775176</v>
      </c>
      <c r="H80" s="54">
        <f t="shared" si="40"/>
        <v>41.744224854775176</v>
      </c>
    </row>
    <row r="81" spans="1:8" ht="14.4" x14ac:dyDescent="0.25">
      <c r="A81" s="643"/>
      <c r="B81" s="610"/>
      <c r="C81" s="585" t="s">
        <v>143</v>
      </c>
      <c r="D81" s="586"/>
      <c r="E81" s="6" t="s">
        <v>50</v>
      </c>
      <c r="F81" s="54">
        <f>'[1]п.15 Перев., реализация'!$H$21</f>
        <v>93.056013905613796</v>
      </c>
      <c r="G81" s="54">
        <f t="shared" ref="G81:H81" si="41">F81</f>
        <v>93.056013905613796</v>
      </c>
      <c r="H81" s="54">
        <f t="shared" si="41"/>
        <v>93.056013905613796</v>
      </c>
    </row>
    <row r="82" spans="1:8" ht="14.4" x14ac:dyDescent="0.25">
      <c r="A82" s="643"/>
      <c r="B82" s="610"/>
      <c r="C82" s="585" t="s">
        <v>57</v>
      </c>
      <c r="D82" s="586"/>
      <c r="E82" s="6" t="s">
        <v>113</v>
      </c>
      <c r="F82" s="54">
        <f>'[1]п.15 Перев., реализация'!$F$21</f>
        <v>10.275478318990439</v>
      </c>
      <c r="G82" s="54">
        <f t="shared" ref="G82:H82" si="42">F82</f>
        <v>10.275478318990439</v>
      </c>
      <c r="H82" s="54">
        <f t="shared" si="42"/>
        <v>10.275478318990439</v>
      </c>
    </row>
    <row r="83" spans="1:8" ht="14.4" x14ac:dyDescent="0.25">
      <c r="A83" s="644"/>
      <c r="B83" s="594"/>
      <c r="C83" s="585" t="s">
        <v>58</v>
      </c>
      <c r="D83" s="586"/>
      <c r="E83" s="6" t="s">
        <v>114</v>
      </c>
      <c r="F83" s="54">
        <f>'[1]п.15 Перев., реализация'!$G$21</f>
        <v>0.54274653055449484</v>
      </c>
      <c r="G83" s="54">
        <f t="shared" ref="G83:H83" si="43">F83</f>
        <v>0.54274653055449484</v>
      </c>
      <c r="H83" s="54">
        <f t="shared" si="43"/>
        <v>0.54274653055449484</v>
      </c>
    </row>
    <row r="84" spans="1:8" x14ac:dyDescent="0.25">
      <c r="A84" s="614" t="s">
        <v>4</v>
      </c>
      <c r="B84" s="615"/>
      <c r="C84" s="615"/>
      <c r="D84" s="616"/>
      <c r="E84" s="7" t="s">
        <v>3</v>
      </c>
      <c r="F84" s="39">
        <v>19.5</v>
      </c>
      <c r="G84" s="55">
        <f t="shared" ref="G84:H85" si="44">F84</f>
        <v>19.5</v>
      </c>
      <c r="H84" s="55">
        <f t="shared" si="44"/>
        <v>19.5</v>
      </c>
    </row>
    <row r="85" spans="1:8" ht="16.8" x14ac:dyDescent="0.25">
      <c r="A85" s="611" t="s">
        <v>145</v>
      </c>
      <c r="B85" s="612"/>
      <c r="C85" s="612"/>
      <c r="D85" s="613"/>
      <c r="E85" s="6" t="s">
        <v>159</v>
      </c>
      <c r="F85" s="411">
        <v>400</v>
      </c>
      <c r="G85" s="412">
        <f>F85</f>
        <v>400</v>
      </c>
      <c r="H85" s="412">
        <f t="shared" si="44"/>
        <v>400</v>
      </c>
    </row>
    <row r="86" spans="1:8" ht="16.8" x14ac:dyDescent="0.25">
      <c r="A86" s="608" t="s">
        <v>146</v>
      </c>
      <c r="B86" s="592" t="s">
        <v>147</v>
      </c>
      <c r="C86" s="585" t="s">
        <v>148</v>
      </c>
      <c r="D86" s="586"/>
      <c r="E86" s="6" t="s">
        <v>159</v>
      </c>
      <c r="F86" s="6"/>
      <c r="G86" s="17"/>
      <c r="H86" s="17"/>
    </row>
    <row r="87" spans="1:8" ht="16.8" x14ac:dyDescent="0.25">
      <c r="A87" s="609"/>
      <c r="B87" s="610"/>
      <c r="C87" s="585" t="s">
        <v>149</v>
      </c>
      <c r="D87" s="586"/>
      <c r="E87" s="6" t="s">
        <v>159</v>
      </c>
      <c r="F87" s="6"/>
      <c r="G87" s="17"/>
      <c r="H87" s="17"/>
    </row>
    <row r="88" spans="1:8" ht="16.8" x14ac:dyDescent="0.25">
      <c r="A88" s="609"/>
      <c r="B88" s="594"/>
      <c r="C88" s="585" t="s">
        <v>150</v>
      </c>
      <c r="D88" s="586"/>
      <c r="E88" s="6" t="s">
        <v>159</v>
      </c>
      <c r="F88" s="6"/>
      <c r="G88" s="17"/>
      <c r="H88" s="17"/>
    </row>
    <row r="89" spans="1:8" ht="16.8" x14ac:dyDescent="0.25">
      <c r="A89" s="609"/>
      <c r="B89" s="592" t="s">
        <v>151</v>
      </c>
      <c r="C89" s="593" t="s">
        <v>152</v>
      </c>
      <c r="D89" s="16" t="s">
        <v>157</v>
      </c>
      <c r="E89" s="6" t="s">
        <v>159</v>
      </c>
      <c r="F89" s="6"/>
      <c r="G89" s="17"/>
      <c r="H89" s="17"/>
    </row>
    <row r="90" spans="1:8" ht="16.8" x14ac:dyDescent="0.25">
      <c r="A90" s="609"/>
      <c r="B90" s="610"/>
      <c r="C90" s="595"/>
      <c r="D90" s="16" t="s">
        <v>158</v>
      </c>
      <c r="E90" s="6" t="s">
        <v>159</v>
      </c>
      <c r="F90" s="6"/>
      <c r="G90" s="17"/>
      <c r="H90" s="17"/>
    </row>
    <row r="91" spans="1:8" ht="16.8" x14ac:dyDescent="0.25">
      <c r="A91" s="609"/>
      <c r="B91" s="610"/>
      <c r="C91" s="593" t="s">
        <v>153</v>
      </c>
      <c r="D91" s="16" t="s">
        <v>157</v>
      </c>
      <c r="E91" s="6" t="s">
        <v>159</v>
      </c>
      <c r="F91" s="6"/>
      <c r="G91" s="17"/>
      <c r="H91" s="17"/>
    </row>
    <row r="92" spans="1:8" ht="16.8" x14ac:dyDescent="0.25">
      <c r="A92" s="609"/>
      <c r="B92" s="610"/>
      <c r="C92" s="595"/>
      <c r="D92" s="16" t="s">
        <v>158</v>
      </c>
      <c r="E92" s="6" t="s">
        <v>159</v>
      </c>
      <c r="F92" s="6"/>
      <c r="G92" s="17"/>
      <c r="H92" s="17"/>
    </row>
    <row r="93" spans="1:8" ht="16.8" x14ac:dyDescent="0.25">
      <c r="A93" s="609"/>
      <c r="B93" s="610"/>
      <c r="C93" s="593" t="s">
        <v>155</v>
      </c>
      <c r="D93" s="16" t="s">
        <v>157</v>
      </c>
      <c r="E93" s="6" t="s">
        <v>159</v>
      </c>
      <c r="F93" s="6"/>
      <c r="G93" s="17"/>
      <c r="H93" s="17"/>
    </row>
    <row r="94" spans="1:8" ht="16.8" x14ac:dyDescent="0.25">
      <c r="A94" s="609"/>
      <c r="B94" s="610"/>
      <c r="C94" s="595"/>
      <c r="D94" s="16" t="s">
        <v>158</v>
      </c>
      <c r="E94" s="6" t="s">
        <v>159</v>
      </c>
      <c r="F94" s="6"/>
      <c r="G94" s="17"/>
      <c r="H94" s="17"/>
    </row>
    <row r="95" spans="1:8" ht="16.8" x14ac:dyDescent="0.25">
      <c r="A95" s="609"/>
      <c r="B95" s="610"/>
      <c r="C95" s="593" t="s">
        <v>154</v>
      </c>
      <c r="D95" s="16" t="s">
        <v>157</v>
      </c>
      <c r="E95" s="6" t="s">
        <v>159</v>
      </c>
      <c r="F95" s="6"/>
      <c r="G95" s="17"/>
      <c r="H95" s="17"/>
    </row>
    <row r="96" spans="1:8" ht="16.8" x14ac:dyDescent="0.25">
      <c r="A96" s="609"/>
      <c r="B96" s="610"/>
      <c r="C96" s="595"/>
      <c r="D96" s="16" t="s">
        <v>158</v>
      </c>
      <c r="E96" s="6" t="s">
        <v>159</v>
      </c>
      <c r="F96" s="6"/>
      <c r="G96" s="17"/>
      <c r="H96" s="17"/>
    </row>
    <row r="97" spans="1:9" ht="16.8" x14ac:dyDescent="0.25">
      <c r="A97" s="609"/>
      <c r="B97" s="610"/>
      <c r="C97" s="16" t="s">
        <v>156</v>
      </c>
      <c r="D97" s="16" t="s">
        <v>158</v>
      </c>
      <c r="E97" s="6" t="s">
        <v>159</v>
      </c>
      <c r="F97" s="6"/>
      <c r="G97" s="17"/>
      <c r="H97" s="17"/>
    </row>
    <row r="98" spans="1:9" x14ac:dyDescent="0.25">
      <c r="A98" s="626" t="s">
        <v>5</v>
      </c>
      <c r="B98" s="626"/>
      <c r="C98" s="626"/>
      <c r="D98" s="626"/>
      <c r="E98" s="626"/>
      <c r="F98" s="626"/>
      <c r="G98" s="626"/>
      <c r="H98" s="626"/>
    </row>
    <row r="99" spans="1:9" ht="14.4" x14ac:dyDescent="0.25">
      <c r="A99" s="623" t="s">
        <v>144</v>
      </c>
      <c r="B99" s="585"/>
      <c r="C99" s="585"/>
      <c r="D99" s="586"/>
      <c r="E99" s="17" t="s">
        <v>6</v>
      </c>
      <c r="F99" s="65">
        <f>7237.5+1535</f>
        <v>8772.5</v>
      </c>
      <c r="G99" s="28">
        <f>F99</f>
        <v>8772.5</v>
      </c>
      <c r="H99" s="28">
        <f>G99</f>
        <v>8772.5</v>
      </c>
    </row>
    <row r="100" spans="1:9" ht="14.4" x14ac:dyDescent="0.25">
      <c r="A100" s="623" t="s">
        <v>59</v>
      </c>
      <c r="B100" s="585"/>
      <c r="C100" s="585"/>
      <c r="D100" s="586"/>
      <c r="E100" s="17" t="s">
        <v>6</v>
      </c>
      <c r="F100" s="65"/>
      <c r="G100" s="17"/>
      <c r="H100" s="17"/>
    </row>
    <row r="101" spans="1:9" ht="14.4" x14ac:dyDescent="0.25">
      <c r="A101" s="623" t="s">
        <v>160</v>
      </c>
      <c r="B101" s="585"/>
      <c r="C101" s="585"/>
      <c r="D101" s="586"/>
      <c r="E101" s="17" t="s">
        <v>6</v>
      </c>
      <c r="F101" s="65">
        <v>308514.96100000001</v>
      </c>
      <c r="G101" s="28">
        <f>F101</f>
        <v>308514.96100000001</v>
      </c>
      <c r="H101" s="28">
        <f>G101</f>
        <v>308514.96100000001</v>
      </c>
    </row>
    <row r="102" spans="1:9" ht="14.4" x14ac:dyDescent="0.25">
      <c r="A102" s="623" t="s">
        <v>60</v>
      </c>
      <c r="B102" s="585"/>
      <c r="C102" s="585"/>
      <c r="D102" s="586"/>
      <c r="E102" s="17" t="s">
        <v>6</v>
      </c>
      <c r="F102" s="65"/>
      <c r="G102" s="17"/>
      <c r="H102" s="17"/>
    </row>
    <row r="103" spans="1:9" ht="14.4" x14ac:dyDescent="0.25">
      <c r="A103" s="623" t="s">
        <v>532</v>
      </c>
      <c r="B103" s="585"/>
      <c r="C103" s="585"/>
      <c r="D103" s="586"/>
      <c r="E103" s="17" t="s">
        <v>6</v>
      </c>
      <c r="F103" s="550">
        <f>ОС!I8</f>
        <v>156687.54734613193</v>
      </c>
      <c r="G103" s="551">
        <f>F103</f>
        <v>156687.54734613193</v>
      </c>
      <c r="H103" s="551">
        <f>G103</f>
        <v>156687.54734613193</v>
      </c>
    </row>
    <row r="104" spans="1:9" ht="17.399999999999999" x14ac:dyDescent="0.25">
      <c r="A104" s="635" t="s">
        <v>61</v>
      </c>
      <c r="B104" s="636"/>
      <c r="C104" s="636"/>
      <c r="D104" s="636"/>
      <c r="E104" s="636"/>
      <c r="F104" s="636"/>
      <c r="G104" s="636"/>
      <c r="H104" s="636"/>
    </row>
    <row r="105" spans="1:9" x14ac:dyDescent="0.25">
      <c r="A105" s="640" t="s">
        <v>62</v>
      </c>
      <c r="B105" s="640"/>
      <c r="C105" s="640"/>
      <c r="D105" s="640"/>
      <c r="E105" s="31" t="s">
        <v>63</v>
      </c>
      <c r="F105" s="56">
        <v>450</v>
      </c>
      <c r="G105" s="57">
        <f>F105</f>
        <v>450</v>
      </c>
      <c r="H105" s="57">
        <f>G105</f>
        <v>450</v>
      </c>
      <c r="I105" s="49"/>
    </row>
    <row r="106" spans="1:9" ht="27" customHeight="1" x14ac:dyDescent="0.25">
      <c r="A106" s="640" t="s">
        <v>65</v>
      </c>
      <c r="B106" s="640"/>
      <c r="C106" s="640"/>
      <c r="D106" s="640"/>
      <c r="E106" s="23" t="s">
        <v>2</v>
      </c>
      <c r="F106" s="58">
        <f>'Инфл. тенге'!D16</f>
        <v>7.0099999999999996E-2</v>
      </c>
      <c r="G106" s="58">
        <f>F106</f>
        <v>7.0099999999999996E-2</v>
      </c>
      <c r="H106" s="58">
        <f>F106</f>
        <v>7.0099999999999996E-2</v>
      </c>
    </row>
    <row r="107" spans="1:9" x14ac:dyDescent="0.25">
      <c r="A107" s="640" t="s">
        <v>64</v>
      </c>
      <c r="B107" s="640"/>
      <c r="C107" s="640"/>
      <c r="D107" s="640"/>
      <c r="E107" s="23" t="s">
        <v>2</v>
      </c>
      <c r="F107" s="42">
        <v>0.02</v>
      </c>
      <c r="G107" s="42">
        <f t="shared" ref="G107:H107" si="45">F107</f>
        <v>0.02</v>
      </c>
      <c r="H107" s="42">
        <f t="shared" si="45"/>
        <v>0.02</v>
      </c>
    </row>
    <row r="108" spans="1:9" x14ac:dyDescent="0.25">
      <c r="A108" s="641" t="s">
        <v>66</v>
      </c>
      <c r="B108" s="641"/>
      <c r="C108" s="641"/>
      <c r="D108" s="641"/>
      <c r="E108" s="23" t="s">
        <v>67</v>
      </c>
      <c r="F108" s="46">
        <v>3692</v>
      </c>
      <c r="G108" s="46">
        <f t="shared" ref="G108:H108" si="46">F108</f>
        <v>3692</v>
      </c>
      <c r="H108" s="46">
        <f t="shared" si="46"/>
        <v>3692</v>
      </c>
    </row>
    <row r="109" spans="1:9" x14ac:dyDescent="0.25">
      <c r="A109" s="641" t="s">
        <v>68</v>
      </c>
      <c r="B109" s="641"/>
      <c r="C109" s="641"/>
      <c r="D109" s="641"/>
      <c r="E109" s="23" t="s">
        <v>69</v>
      </c>
      <c r="F109" s="46">
        <v>31.1035</v>
      </c>
      <c r="G109" s="46">
        <f t="shared" ref="G109:H109" si="47">F109</f>
        <v>31.1035</v>
      </c>
      <c r="H109" s="46">
        <f t="shared" si="47"/>
        <v>31.1035</v>
      </c>
    </row>
    <row r="110" spans="1:9" x14ac:dyDescent="0.25">
      <c r="A110" s="641" t="s">
        <v>70</v>
      </c>
      <c r="B110" s="641"/>
      <c r="C110" s="641"/>
      <c r="D110" s="641"/>
      <c r="E110" s="23" t="s">
        <v>71</v>
      </c>
      <c r="F110" s="46">
        <v>0.45358999999999999</v>
      </c>
      <c r="G110" s="46">
        <f t="shared" ref="G110:H110" si="48">F110</f>
        <v>0.45358999999999999</v>
      </c>
      <c r="H110" s="46">
        <f t="shared" si="48"/>
        <v>0.45358999999999999</v>
      </c>
    </row>
    <row r="111" spans="1:9" x14ac:dyDescent="0.25">
      <c r="A111" s="640" t="s">
        <v>79</v>
      </c>
      <c r="B111" s="640"/>
      <c r="C111" s="640"/>
      <c r="D111" s="640"/>
      <c r="E111" s="640"/>
      <c r="F111" s="640"/>
      <c r="G111" s="20"/>
      <c r="H111" s="20"/>
    </row>
    <row r="112" spans="1:9" x14ac:dyDescent="0.25">
      <c r="A112" s="641" t="s">
        <v>72</v>
      </c>
      <c r="B112" s="641"/>
      <c r="C112" s="641"/>
      <c r="D112" s="641"/>
      <c r="E112" s="18" t="s">
        <v>73</v>
      </c>
      <c r="F112" s="42">
        <v>1E-3</v>
      </c>
      <c r="G112" s="59">
        <f t="shared" ref="G112:H112" si="49">F112</f>
        <v>1E-3</v>
      </c>
      <c r="H112" s="59">
        <f t="shared" si="49"/>
        <v>1E-3</v>
      </c>
    </row>
    <row r="113" spans="1:11" x14ac:dyDescent="0.25">
      <c r="A113" s="641" t="s">
        <v>74</v>
      </c>
      <c r="B113" s="641"/>
      <c r="C113" s="641"/>
      <c r="D113" s="641"/>
      <c r="E113" s="18" t="s">
        <v>73</v>
      </c>
      <c r="F113" s="42">
        <v>1E-3</v>
      </c>
      <c r="G113" s="59">
        <f t="shared" ref="G113:H113" si="50">F113</f>
        <v>1E-3</v>
      </c>
      <c r="H113" s="59">
        <f t="shared" si="50"/>
        <v>1E-3</v>
      </c>
    </row>
    <row r="114" spans="1:11" ht="69" x14ac:dyDescent="0.25">
      <c r="A114" s="641" t="s">
        <v>75</v>
      </c>
      <c r="B114" s="641"/>
      <c r="C114" s="641"/>
      <c r="D114" s="641"/>
      <c r="E114" s="23" t="s">
        <v>76</v>
      </c>
      <c r="F114" s="43">
        <v>0.01</v>
      </c>
      <c r="G114" s="60">
        <f t="shared" ref="G114:H114" si="51">F114</f>
        <v>0.01</v>
      </c>
      <c r="H114" s="60">
        <f t="shared" si="51"/>
        <v>0.01</v>
      </c>
    </row>
    <row r="115" spans="1:11" x14ac:dyDescent="0.25">
      <c r="A115" s="633" t="s">
        <v>77</v>
      </c>
      <c r="B115" s="633"/>
      <c r="C115" s="633"/>
      <c r="D115" s="633"/>
      <c r="E115" s="23" t="s">
        <v>78</v>
      </c>
      <c r="F115" s="44">
        <v>40000</v>
      </c>
      <c r="G115" s="61">
        <f t="shared" ref="G115:H115" si="52">F115</f>
        <v>40000</v>
      </c>
      <c r="H115" s="61">
        <f t="shared" si="52"/>
        <v>40000</v>
      </c>
    </row>
    <row r="116" spans="1:11" x14ac:dyDescent="0.25">
      <c r="A116" s="633" t="s">
        <v>80</v>
      </c>
      <c r="B116" s="633"/>
      <c r="C116" s="633"/>
      <c r="D116" s="633"/>
      <c r="E116" s="30" t="s">
        <v>162</v>
      </c>
      <c r="F116" s="45">
        <v>9187.3297416343485</v>
      </c>
      <c r="G116" s="45">
        <f t="shared" ref="G116:H116" si="53">F116</f>
        <v>9187.3297416343485</v>
      </c>
      <c r="H116" s="45">
        <f t="shared" si="53"/>
        <v>9187.3297416343485</v>
      </c>
    </row>
    <row r="117" spans="1:11" x14ac:dyDescent="0.25">
      <c r="A117" s="633" t="s">
        <v>81</v>
      </c>
      <c r="B117" s="633"/>
      <c r="C117" s="633"/>
      <c r="D117" s="633"/>
      <c r="E117" s="30" t="s">
        <v>162</v>
      </c>
      <c r="F117" s="45">
        <v>172.23972341468181</v>
      </c>
      <c r="G117" s="45">
        <f t="shared" ref="G117:H117" si="54">F117</f>
        <v>172.23972341468181</v>
      </c>
      <c r="H117" s="45">
        <f t="shared" si="54"/>
        <v>172.23972341468181</v>
      </c>
    </row>
    <row r="118" spans="1:11" x14ac:dyDescent="0.25">
      <c r="A118" s="633" t="s">
        <v>82</v>
      </c>
      <c r="B118" s="633"/>
      <c r="C118" s="633"/>
      <c r="D118" s="633"/>
      <c r="E118" s="30" t="s">
        <v>162</v>
      </c>
      <c r="F118" s="45">
        <v>5529.8640075947751</v>
      </c>
      <c r="G118" s="45">
        <f t="shared" ref="G118:H118" si="55">F118</f>
        <v>5529.8640075947751</v>
      </c>
      <c r="H118" s="45">
        <f t="shared" si="55"/>
        <v>5529.8640075947751</v>
      </c>
    </row>
    <row r="119" spans="1:11" x14ac:dyDescent="0.25">
      <c r="A119" s="633" t="s">
        <v>83</v>
      </c>
      <c r="B119" s="633"/>
      <c r="C119" s="633"/>
      <c r="D119" s="633"/>
      <c r="E119" s="30" t="s">
        <v>162</v>
      </c>
      <c r="F119" s="45">
        <v>538141.75601913349</v>
      </c>
      <c r="G119" s="45">
        <f t="shared" ref="G119:H119" si="56">F119</f>
        <v>538141.75601913349</v>
      </c>
      <c r="H119" s="45">
        <f t="shared" si="56"/>
        <v>538141.75601913349</v>
      </c>
    </row>
    <row r="120" spans="1:11" x14ac:dyDescent="0.25">
      <c r="A120" s="633" t="s">
        <v>84</v>
      </c>
      <c r="B120" s="633"/>
      <c r="C120" s="633"/>
      <c r="D120" s="633"/>
      <c r="E120" s="30" t="s">
        <v>162</v>
      </c>
      <c r="F120" s="45">
        <v>439.87374999999997</v>
      </c>
      <c r="G120" s="45">
        <f t="shared" ref="G120:H120" si="57">F120</f>
        <v>439.87374999999997</v>
      </c>
      <c r="H120" s="45">
        <f t="shared" si="57"/>
        <v>439.87374999999997</v>
      </c>
    </row>
    <row r="121" spans="1:11" x14ac:dyDescent="0.25">
      <c r="A121" s="633" t="s">
        <v>163</v>
      </c>
      <c r="B121" s="633"/>
      <c r="C121" s="633"/>
      <c r="D121" s="633"/>
      <c r="E121" s="30" t="s">
        <v>162</v>
      </c>
      <c r="F121" s="45">
        <v>4685.9939999999997</v>
      </c>
      <c r="G121" s="45">
        <f t="shared" ref="G121:H121" si="58">F121</f>
        <v>4685.9939999999997</v>
      </c>
      <c r="H121" s="45">
        <f t="shared" si="58"/>
        <v>4685.9939999999997</v>
      </c>
    </row>
    <row r="122" spans="1:11" x14ac:dyDescent="0.25">
      <c r="A122" s="633" t="s">
        <v>85</v>
      </c>
      <c r="B122" s="633"/>
      <c r="C122" s="633"/>
      <c r="D122" s="633"/>
      <c r="E122" s="30" t="s">
        <v>162</v>
      </c>
      <c r="F122" s="45">
        <v>411.481420582635</v>
      </c>
      <c r="G122" s="45">
        <f t="shared" ref="G122:H122" si="59">F122</f>
        <v>411.481420582635</v>
      </c>
      <c r="H122" s="45">
        <f t="shared" si="59"/>
        <v>411.481420582635</v>
      </c>
    </row>
    <row r="123" spans="1:11" x14ac:dyDescent="0.25">
      <c r="A123" s="633" t="s">
        <v>86</v>
      </c>
      <c r="B123" s="633"/>
      <c r="C123" s="633"/>
      <c r="D123" s="633"/>
      <c r="E123" s="30" t="s">
        <v>162</v>
      </c>
      <c r="F123" s="45">
        <v>116689.50657959819</v>
      </c>
      <c r="G123" s="45">
        <f t="shared" ref="G123:H123" si="60">F123</f>
        <v>116689.50657959819</v>
      </c>
      <c r="H123" s="45">
        <f t="shared" si="60"/>
        <v>116689.50657959819</v>
      </c>
    </row>
    <row r="124" spans="1:11" ht="13.8" customHeight="1" x14ac:dyDescent="0.25">
      <c r="A124" s="633" t="s">
        <v>92</v>
      </c>
      <c r="B124" s="633"/>
      <c r="C124" s="633"/>
      <c r="D124" s="633"/>
      <c r="E124" s="30"/>
      <c r="F124" s="29"/>
      <c r="G124" s="29"/>
      <c r="H124" s="29"/>
    </row>
    <row r="125" spans="1:11" ht="14.4" x14ac:dyDescent="0.25">
      <c r="A125" s="587" t="s">
        <v>93</v>
      </c>
      <c r="B125" s="587"/>
      <c r="C125" s="587"/>
      <c r="D125" s="587"/>
      <c r="E125" s="23" t="s">
        <v>2</v>
      </c>
      <c r="F125" s="62">
        <v>7.4999999999999997E-2</v>
      </c>
      <c r="G125" s="62">
        <f t="shared" ref="G125:H125" si="61">F125</f>
        <v>7.4999999999999997E-2</v>
      </c>
      <c r="H125" s="62">
        <f t="shared" si="61"/>
        <v>7.4999999999999997E-2</v>
      </c>
      <c r="I125" s="588"/>
      <c r="K125" s="50"/>
    </row>
    <row r="126" spans="1:11" ht="14.4" x14ac:dyDescent="0.25">
      <c r="A126" s="587" t="s">
        <v>94</v>
      </c>
      <c r="B126" s="587"/>
      <c r="C126" s="587"/>
      <c r="D126" s="587"/>
      <c r="E126" s="23" t="s">
        <v>2</v>
      </c>
      <c r="F126" s="62">
        <v>7.4999999999999997E-2</v>
      </c>
      <c r="G126" s="62">
        <f t="shared" ref="G126:H126" si="62">F126</f>
        <v>7.4999999999999997E-2</v>
      </c>
      <c r="H126" s="62">
        <f t="shared" si="62"/>
        <v>7.4999999999999997E-2</v>
      </c>
      <c r="I126" s="588"/>
      <c r="K126" s="50"/>
    </row>
    <row r="127" spans="1:11" ht="14.4" x14ac:dyDescent="0.25">
      <c r="A127" s="587" t="s">
        <v>95</v>
      </c>
      <c r="B127" s="587"/>
      <c r="C127" s="587"/>
      <c r="D127" s="587"/>
      <c r="E127" s="23" t="s">
        <v>2</v>
      </c>
      <c r="F127" s="62">
        <v>8.5500000000000007E-2</v>
      </c>
      <c r="G127" s="62">
        <f t="shared" ref="G127:H127" si="63">F127</f>
        <v>8.5500000000000007E-2</v>
      </c>
      <c r="H127" s="62">
        <f t="shared" si="63"/>
        <v>8.5500000000000007E-2</v>
      </c>
      <c r="I127" s="588"/>
      <c r="J127" s="49"/>
      <c r="K127" s="50"/>
    </row>
    <row r="128" spans="1:11" ht="14.4" x14ac:dyDescent="0.25">
      <c r="A128" s="587" t="s">
        <v>96</v>
      </c>
      <c r="B128" s="587"/>
      <c r="C128" s="587"/>
      <c r="D128" s="587"/>
      <c r="E128" s="23" t="s">
        <v>2</v>
      </c>
      <c r="F128" s="62">
        <v>0.105</v>
      </c>
      <c r="G128" s="62">
        <f t="shared" ref="G128:H128" si="64">F128</f>
        <v>0.105</v>
      </c>
      <c r="H128" s="62">
        <f t="shared" si="64"/>
        <v>0.105</v>
      </c>
      <c r="I128" s="588"/>
      <c r="K128" s="50"/>
    </row>
    <row r="129" spans="1:11" ht="14.4" x14ac:dyDescent="0.25">
      <c r="A129" s="587" t="s">
        <v>97</v>
      </c>
      <c r="B129" s="587"/>
      <c r="C129" s="587"/>
      <c r="D129" s="587"/>
      <c r="E129" s="23" t="s">
        <v>2</v>
      </c>
      <c r="F129" s="62">
        <v>0.104</v>
      </c>
      <c r="G129" s="62">
        <f t="shared" ref="G129:H129" si="65">F129</f>
        <v>0.104</v>
      </c>
      <c r="H129" s="62">
        <f t="shared" si="65"/>
        <v>0.104</v>
      </c>
      <c r="I129" s="588"/>
      <c r="K129" s="50"/>
    </row>
    <row r="130" spans="1:11" x14ac:dyDescent="0.25">
      <c r="A130" s="633" t="s">
        <v>87</v>
      </c>
      <c r="B130" s="633"/>
      <c r="C130" s="633"/>
      <c r="D130" s="633"/>
      <c r="E130" s="633"/>
      <c r="F130" s="23"/>
      <c r="G130" s="23">
        <f t="shared" ref="G130:H130" si="66">F130</f>
        <v>0</v>
      </c>
      <c r="H130" s="23">
        <f t="shared" si="66"/>
        <v>0</v>
      </c>
    </row>
    <row r="131" spans="1:11" ht="14.4" x14ac:dyDescent="0.25">
      <c r="A131" s="587" t="s">
        <v>88</v>
      </c>
      <c r="B131" s="587"/>
      <c r="C131" s="587"/>
      <c r="D131" s="587"/>
      <c r="E131" s="23" t="s">
        <v>91</v>
      </c>
      <c r="F131" s="46">
        <v>4.0000000000000001E-3</v>
      </c>
      <c r="G131" s="46">
        <f t="shared" ref="G131:H131" si="67">F131</f>
        <v>4.0000000000000001E-3</v>
      </c>
      <c r="H131" s="46">
        <f t="shared" si="67"/>
        <v>4.0000000000000001E-3</v>
      </c>
    </row>
    <row r="132" spans="1:11" ht="14.4" x14ac:dyDescent="0.25">
      <c r="A132" s="587" t="s">
        <v>89</v>
      </c>
      <c r="B132" s="587"/>
      <c r="C132" s="587"/>
      <c r="D132" s="587"/>
      <c r="E132" s="23" t="s">
        <v>91</v>
      </c>
      <c r="F132" s="47">
        <v>2.5999999999999999E-2</v>
      </c>
      <c r="G132" s="47">
        <f t="shared" ref="G132:H132" si="68">F132</f>
        <v>2.5999999999999999E-2</v>
      </c>
      <c r="H132" s="47">
        <f t="shared" si="68"/>
        <v>2.5999999999999999E-2</v>
      </c>
    </row>
    <row r="133" spans="1:11" ht="14.4" x14ac:dyDescent="0.25">
      <c r="A133" s="587" t="s">
        <v>90</v>
      </c>
      <c r="B133" s="587"/>
      <c r="C133" s="587"/>
      <c r="D133" s="587"/>
      <c r="E133" s="23" t="s">
        <v>91</v>
      </c>
      <c r="F133" s="48">
        <v>0.02</v>
      </c>
      <c r="G133" s="48">
        <f t="shared" ref="G133:H133" si="69">F133</f>
        <v>0.02</v>
      </c>
      <c r="H133" s="48">
        <f t="shared" si="69"/>
        <v>0.02</v>
      </c>
    </row>
    <row r="134" spans="1:11" ht="14.4" x14ac:dyDescent="0.25">
      <c r="A134" s="587" t="s">
        <v>394</v>
      </c>
      <c r="B134" s="587"/>
      <c r="C134" s="587"/>
      <c r="D134" s="587"/>
      <c r="E134" s="23"/>
      <c r="F134" s="48">
        <v>3.79</v>
      </c>
      <c r="G134" s="48">
        <f>F134</f>
        <v>3.79</v>
      </c>
      <c r="H134" s="48">
        <f>F134</f>
        <v>3.79</v>
      </c>
    </row>
    <row r="135" spans="1:11" ht="14.4" x14ac:dyDescent="0.25">
      <c r="A135" s="587" t="s">
        <v>395</v>
      </c>
      <c r="B135" s="587"/>
      <c r="C135" s="587"/>
      <c r="D135" s="587"/>
      <c r="E135" s="23"/>
      <c r="F135" s="48"/>
      <c r="G135" s="48"/>
      <c r="H135" s="48"/>
    </row>
    <row r="136" spans="1:11" x14ac:dyDescent="0.25">
      <c r="D136" s="48"/>
      <c r="E136" s="68" t="s">
        <v>167</v>
      </c>
    </row>
    <row r="137" spans="1:11" x14ac:dyDescent="0.25">
      <c r="D137" s="58"/>
      <c r="E137" s="68" t="s">
        <v>168</v>
      </c>
    </row>
    <row r="138" spans="1:11" x14ac:dyDescent="0.25">
      <c r="D138" s="62"/>
      <c r="E138" s="68" t="s">
        <v>169</v>
      </c>
    </row>
  </sheetData>
  <mergeCells count="151">
    <mergeCell ref="A103:D103"/>
    <mergeCell ref="A102:D102"/>
    <mergeCell ref="A101:D101"/>
    <mergeCell ref="A100:D100"/>
    <mergeCell ref="A99:D99"/>
    <mergeCell ref="B67:D67"/>
    <mergeCell ref="C72:D72"/>
    <mergeCell ref="C71:D71"/>
    <mergeCell ref="C70:D70"/>
    <mergeCell ref="B69:D69"/>
    <mergeCell ref="A69:A83"/>
    <mergeCell ref="C81:D81"/>
    <mergeCell ref="C80:D80"/>
    <mergeCell ref="C79:D79"/>
    <mergeCell ref="C78:D78"/>
    <mergeCell ref="C77:D77"/>
    <mergeCell ref="A68:D68"/>
    <mergeCell ref="A120:D120"/>
    <mergeCell ref="A119:D119"/>
    <mergeCell ref="A118:D118"/>
    <mergeCell ref="A117:D117"/>
    <mergeCell ref="A116:D116"/>
    <mergeCell ref="A115:D115"/>
    <mergeCell ref="A105:D105"/>
    <mergeCell ref="A114:D114"/>
    <mergeCell ref="A113:D113"/>
    <mergeCell ref="A112:D112"/>
    <mergeCell ref="A111:F111"/>
    <mergeCell ref="A110:D110"/>
    <mergeCell ref="A109:D109"/>
    <mergeCell ref="A108:D108"/>
    <mergeCell ref="A107:D107"/>
    <mergeCell ref="A106:D106"/>
    <mergeCell ref="A133:D133"/>
    <mergeCell ref="A132:D132"/>
    <mergeCell ref="A130:E130"/>
    <mergeCell ref="A131:D131"/>
    <mergeCell ref="A129:D129"/>
    <mergeCell ref="A128:D128"/>
    <mergeCell ref="A127:D127"/>
    <mergeCell ref="A126:D126"/>
    <mergeCell ref="A125:D125"/>
    <mergeCell ref="A124:D124"/>
    <mergeCell ref="A123:D123"/>
    <mergeCell ref="A122:D122"/>
    <mergeCell ref="A121:D121"/>
    <mergeCell ref="F3:H3"/>
    <mergeCell ref="A104:H104"/>
    <mergeCell ref="B22:B23"/>
    <mergeCell ref="A98:H98"/>
    <mergeCell ref="B64:D64"/>
    <mergeCell ref="B63:D63"/>
    <mergeCell ref="B62:D62"/>
    <mergeCell ref="B61:D61"/>
    <mergeCell ref="A60:D60"/>
    <mergeCell ref="A61:A67"/>
    <mergeCell ref="B70:B72"/>
    <mergeCell ref="B73:B78"/>
    <mergeCell ref="B79:B83"/>
    <mergeCell ref="C22:D22"/>
    <mergeCell ref="C23:D23"/>
    <mergeCell ref="B32:D32"/>
    <mergeCell ref="B31:D31"/>
    <mergeCell ref="B30:D30"/>
    <mergeCell ref="B29:D29"/>
    <mergeCell ref="A1:F1"/>
    <mergeCell ref="A5:H5"/>
    <mergeCell ref="A24:H24"/>
    <mergeCell ref="A50:H50"/>
    <mergeCell ref="E3:E4"/>
    <mergeCell ref="A59:H59"/>
    <mergeCell ref="A47:A49"/>
    <mergeCell ref="A51:H51"/>
    <mergeCell ref="B36:D36"/>
    <mergeCell ref="B37:D37"/>
    <mergeCell ref="B8:B9"/>
    <mergeCell ref="A8:A23"/>
    <mergeCell ref="A26:A46"/>
    <mergeCell ref="B20:B21"/>
    <mergeCell ref="B18:B19"/>
    <mergeCell ref="B16:B17"/>
    <mergeCell ref="B14:B15"/>
    <mergeCell ref="B12:B13"/>
    <mergeCell ref="C20:D20"/>
    <mergeCell ref="C21:D21"/>
    <mergeCell ref="B28:D28"/>
    <mergeCell ref="B27:D27"/>
    <mergeCell ref="B26:D26"/>
    <mergeCell ref="C19:D19"/>
    <mergeCell ref="C10:D10"/>
    <mergeCell ref="C11:D11"/>
    <mergeCell ref="C12:D12"/>
    <mergeCell ref="C13:D13"/>
    <mergeCell ref="C14:D14"/>
    <mergeCell ref="B33:D33"/>
    <mergeCell ref="C18:D18"/>
    <mergeCell ref="B34:D34"/>
    <mergeCell ref="B35:D35"/>
    <mergeCell ref="A25:H25"/>
    <mergeCell ref="C17:D17"/>
    <mergeCell ref="C16:D16"/>
    <mergeCell ref="B65:B66"/>
    <mergeCell ref="B48:D48"/>
    <mergeCell ref="B49:D49"/>
    <mergeCell ref="B56:D56"/>
    <mergeCell ref="B55:D55"/>
    <mergeCell ref="B54:D54"/>
    <mergeCell ref="B53:D53"/>
    <mergeCell ref="B52:D52"/>
    <mergeCell ref="C66:D66"/>
    <mergeCell ref="C65:D65"/>
    <mergeCell ref="B57:D57"/>
    <mergeCell ref="B58:D58"/>
    <mergeCell ref="B43:D43"/>
    <mergeCell ref="B44:D44"/>
    <mergeCell ref="B45:D45"/>
    <mergeCell ref="B46:D46"/>
    <mergeCell ref="B47:D47"/>
    <mergeCell ref="B38:D38"/>
    <mergeCell ref="B39:D39"/>
    <mergeCell ref="B40:D40"/>
    <mergeCell ref="B41:D41"/>
    <mergeCell ref="B42:D42"/>
    <mergeCell ref="A52:A58"/>
    <mergeCell ref="A3:D4"/>
    <mergeCell ref="C9:D9"/>
    <mergeCell ref="C8:D8"/>
    <mergeCell ref="A7:D7"/>
    <mergeCell ref="A6:D6"/>
    <mergeCell ref="A86:A97"/>
    <mergeCell ref="B86:B88"/>
    <mergeCell ref="B89:B97"/>
    <mergeCell ref="C88:D88"/>
    <mergeCell ref="C87:D87"/>
    <mergeCell ref="C86:D86"/>
    <mergeCell ref="C95:C96"/>
    <mergeCell ref="C93:C94"/>
    <mergeCell ref="C91:C92"/>
    <mergeCell ref="C89:C90"/>
    <mergeCell ref="A85:D85"/>
    <mergeCell ref="A84:D84"/>
    <mergeCell ref="C83:D83"/>
    <mergeCell ref="C82:D82"/>
    <mergeCell ref="B10:B11"/>
    <mergeCell ref="C15:D15"/>
    <mergeCell ref="C76:D76"/>
    <mergeCell ref="C75:D75"/>
    <mergeCell ref="A134:D134"/>
    <mergeCell ref="A135:D135"/>
    <mergeCell ref="I125:I129"/>
    <mergeCell ref="C73:D74"/>
  </mergeCells>
  <phoneticPr fontId="10" type="noConversion"/>
  <pageMargins left="0.7" right="0.7" top="0.75" bottom="0.75" header="0.3" footer="0.3"/>
  <pageSetup paperSize="8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250"/>
  <sheetViews>
    <sheetView topLeftCell="A73" workbookViewId="0">
      <selection activeCell="B178" sqref="B178"/>
    </sheetView>
  </sheetViews>
  <sheetFormatPr defaultColWidth="9.109375" defaultRowHeight="14.4" outlineLevelRow="1" x14ac:dyDescent="0.3"/>
  <cols>
    <col min="1" max="1" width="9.109375" style="570" customWidth="1"/>
    <col min="2" max="2" width="54.88671875" style="570" customWidth="1"/>
    <col min="3" max="3" width="9.109375" style="570"/>
    <col min="4" max="5" width="15" style="570" customWidth="1"/>
    <col min="6" max="6" width="14.109375" style="570" customWidth="1"/>
    <col min="7" max="7" width="16.5546875" style="570" customWidth="1"/>
    <col min="8" max="8" width="18" style="570" customWidth="1"/>
    <col min="9" max="16384" width="9.109375" style="570"/>
  </cols>
  <sheetData>
    <row r="1" spans="1:11" x14ac:dyDescent="0.3">
      <c r="A1" s="558" t="s">
        <v>546</v>
      </c>
      <c r="B1" s="558"/>
      <c r="C1" s="558"/>
      <c r="D1" s="558"/>
      <c r="E1" s="558"/>
      <c r="F1" s="558"/>
      <c r="G1" s="558"/>
      <c r="H1" s="558"/>
      <c r="I1" s="558"/>
      <c r="J1" s="558"/>
      <c r="K1" s="558"/>
    </row>
    <row r="3" spans="1:11" x14ac:dyDescent="0.3">
      <c r="B3" s="676" t="s">
        <v>0</v>
      </c>
      <c r="C3" s="645" t="s">
        <v>213</v>
      </c>
      <c r="D3" s="645" t="s">
        <v>534</v>
      </c>
      <c r="E3" s="646" t="s">
        <v>537</v>
      </c>
      <c r="F3" s="645" t="s">
        <v>535</v>
      </c>
      <c r="G3" s="646" t="s">
        <v>537</v>
      </c>
      <c r="H3" s="645" t="s">
        <v>536</v>
      </c>
    </row>
    <row r="4" spans="1:11" x14ac:dyDescent="0.3">
      <c r="B4" s="676"/>
      <c r="C4" s="645"/>
      <c r="D4" s="645"/>
      <c r="E4" s="647"/>
      <c r="F4" s="645"/>
      <c r="G4" s="647"/>
      <c r="H4" s="645"/>
    </row>
    <row r="5" spans="1:11" x14ac:dyDescent="0.3">
      <c r="B5" s="564" t="s">
        <v>216</v>
      </c>
      <c r="C5" s="193" t="s">
        <v>217</v>
      </c>
      <c r="D5" s="165">
        <f>'ФЭМ 0.9'!D7</f>
        <v>17729.408399875101</v>
      </c>
      <c r="E5" s="165">
        <f>F5-D5</f>
        <v>-1214.5063240000018</v>
      </c>
      <c r="F5" s="165">
        <f>'ФЭМ 1.2'!D7</f>
        <v>16514.902075875099</v>
      </c>
      <c r="G5" s="165">
        <f>H5-F5</f>
        <v>-1254.5147997500007</v>
      </c>
      <c r="H5" s="165">
        <f>'ФЭМ 1.5'!D7</f>
        <v>15260.387276125099</v>
      </c>
    </row>
    <row r="6" spans="1:11" x14ac:dyDescent="0.3">
      <c r="B6" s="571" t="s">
        <v>218</v>
      </c>
      <c r="C6" s="193"/>
      <c r="D6" s="163"/>
      <c r="E6" s="163"/>
      <c r="F6" s="163"/>
      <c r="G6" s="163"/>
      <c r="H6" s="163"/>
    </row>
    <row r="7" spans="1:11" x14ac:dyDescent="0.3">
      <c r="B7" s="169" t="s">
        <v>219</v>
      </c>
      <c r="C7" s="193" t="s">
        <v>2</v>
      </c>
      <c r="D7" s="172">
        <f>'ФЭМ 0.9'!D9</f>
        <v>2.0488878456639599</v>
      </c>
      <c r="E7" s="172">
        <f t="shared" ref="E7:E70" si="0">F7-D7</f>
        <v>9.1100815107250099E-2</v>
      </c>
      <c r="F7" s="172">
        <f>'ФЭМ 1.2'!D9</f>
        <v>2.13998866077121</v>
      </c>
      <c r="G7" s="172">
        <f t="shared" ref="G7:G70" si="1">H7-F7</f>
        <v>8.228516192410984E-2</v>
      </c>
      <c r="H7" s="172">
        <f>'ФЭМ 1.5'!D9</f>
        <v>2.2222738226953198</v>
      </c>
    </row>
    <row r="8" spans="1:11" x14ac:dyDescent="0.3">
      <c r="B8" s="169" t="s">
        <v>220</v>
      </c>
      <c r="C8" s="193" t="s">
        <v>2</v>
      </c>
      <c r="D8" s="172">
        <f>'ФЭМ 0.9'!D10</f>
        <v>4.0424732233729799</v>
      </c>
      <c r="E8" s="172">
        <f t="shared" si="0"/>
        <v>0.27833096324293027</v>
      </c>
      <c r="F8" s="172">
        <f>'ФЭМ 1.2'!D10</f>
        <v>4.3208041866159101</v>
      </c>
      <c r="G8" s="172">
        <f t="shared" si="1"/>
        <v>0.31496008661466934</v>
      </c>
      <c r="H8" s="172">
        <f>'ФЭМ 1.5'!D10</f>
        <v>4.6357642732305795</v>
      </c>
    </row>
    <row r="9" spans="1:11" x14ac:dyDescent="0.3">
      <c r="B9" s="171" t="s">
        <v>221</v>
      </c>
      <c r="C9" s="193" t="s">
        <v>2</v>
      </c>
      <c r="D9" s="172">
        <f>'ФЭМ 0.9'!D11</f>
        <v>1.2486675397173701</v>
      </c>
      <c r="E9" s="172">
        <f t="shared" si="0"/>
        <v>8.4648322244609941E-2</v>
      </c>
      <c r="F9" s="172">
        <f>'ФЭМ 1.2'!D11</f>
        <v>1.33331586196198</v>
      </c>
      <c r="G9" s="172">
        <f t="shared" si="1"/>
        <v>9.4552336408539661E-2</v>
      </c>
      <c r="H9" s="172">
        <f>'ФЭМ 1.5'!D11</f>
        <v>1.4278681983705197</v>
      </c>
    </row>
    <row r="10" spans="1:11" x14ac:dyDescent="0.3">
      <c r="B10" s="169" t="s">
        <v>222</v>
      </c>
      <c r="C10" s="193" t="s">
        <v>223</v>
      </c>
      <c r="D10" s="172">
        <f>'ФЭМ 0.9'!D12</f>
        <v>0.84679020911172997</v>
      </c>
      <c r="E10" s="172">
        <f t="shared" si="0"/>
        <v>5.1616290872497972E-2</v>
      </c>
      <c r="F10" s="172">
        <f>'ФЭМ 1.2'!D12</f>
        <v>0.89840649998422795</v>
      </c>
      <c r="G10" s="172">
        <f t="shared" si="1"/>
        <v>5.6263212233542137E-2</v>
      </c>
      <c r="H10" s="172">
        <f>'ФЭМ 1.5'!D12</f>
        <v>0.95466971221777008</v>
      </c>
    </row>
    <row r="11" spans="1:11" x14ac:dyDescent="0.3">
      <c r="B11" s="169" t="s">
        <v>224</v>
      </c>
      <c r="C11" s="193" t="s">
        <v>223</v>
      </c>
      <c r="D11" s="172">
        <f>'ФЭМ 0.9'!D13</f>
        <v>96.061350230072406</v>
      </c>
      <c r="E11" s="172">
        <f t="shared" si="0"/>
        <v>6.3650102688115879</v>
      </c>
      <c r="F11" s="172">
        <f>'ФЭМ 1.2'!D13</f>
        <v>102.42636049888399</v>
      </c>
      <c r="G11" s="172">
        <f t="shared" si="1"/>
        <v>7.0109987737150163</v>
      </c>
      <c r="H11" s="172">
        <f>'ФЭМ 1.5'!D13</f>
        <v>109.43735927259901</v>
      </c>
    </row>
    <row r="12" spans="1:11" x14ac:dyDescent="0.3">
      <c r="B12" s="571" t="s">
        <v>225</v>
      </c>
      <c r="C12" s="193"/>
      <c r="D12" s="172"/>
      <c r="E12" s="172"/>
      <c r="F12" s="172"/>
      <c r="G12" s="172"/>
      <c r="H12" s="172"/>
    </row>
    <row r="13" spans="1:11" x14ac:dyDescent="0.3">
      <c r="B13" s="169" t="s">
        <v>219</v>
      </c>
      <c r="C13" s="193" t="s">
        <v>226</v>
      </c>
      <c r="D13" s="190">
        <f>'ФЭМ 0.9'!D15</f>
        <v>363255.69381316612</v>
      </c>
      <c r="E13" s="190">
        <f t="shared" si="0"/>
        <v>-9838.6620519697899</v>
      </c>
      <c r="F13" s="190">
        <f>'ФЭМ 1.2'!D15</f>
        <v>353417.03176119633</v>
      </c>
      <c r="G13" s="190">
        <f t="shared" si="1"/>
        <v>-14289.440081940906</v>
      </c>
      <c r="H13" s="190">
        <f>'ФЭМ 1.5'!D15</f>
        <v>339127.59167925542</v>
      </c>
    </row>
    <row r="14" spans="1:11" x14ac:dyDescent="0.3">
      <c r="B14" s="169" t="s">
        <v>220</v>
      </c>
      <c r="C14" s="193" t="s">
        <v>226</v>
      </c>
      <c r="D14" s="190">
        <f>'ФЭМ 0.9'!D16</f>
        <v>716706.58722739085</v>
      </c>
      <c r="E14" s="190">
        <f t="shared" si="0"/>
        <v>-3130.0069174617529</v>
      </c>
      <c r="F14" s="190">
        <f>'ФЭМ 1.2'!D16</f>
        <v>713576.58030992909</v>
      </c>
      <c r="G14" s="190">
        <f t="shared" si="1"/>
        <v>-6140.9990066965111</v>
      </c>
      <c r="H14" s="190">
        <f>'ФЭМ 1.5'!D16</f>
        <v>707435.58130323258</v>
      </c>
    </row>
    <row r="15" spans="1:11" x14ac:dyDescent="0.3">
      <c r="B15" s="171" t="s">
        <v>221</v>
      </c>
      <c r="C15" s="193" t="s">
        <v>226</v>
      </c>
      <c r="D15" s="190">
        <f>'ФЭМ 0.9'!D17</f>
        <v>221381.36767316516</v>
      </c>
      <c r="E15" s="190">
        <f t="shared" si="0"/>
        <v>-1185.5587080341647</v>
      </c>
      <c r="F15" s="190">
        <f>'ФЭМ 1.2'!D17</f>
        <v>220195.808965131</v>
      </c>
      <c r="G15" s="190">
        <f t="shared" si="1"/>
        <v>-2297.5921011595055</v>
      </c>
      <c r="H15" s="190">
        <f>'ФЭМ 1.5'!D17</f>
        <v>217898.21686397149</v>
      </c>
    </row>
    <row r="16" spans="1:11" x14ac:dyDescent="0.3">
      <c r="B16" s="169" t="s">
        <v>222</v>
      </c>
      <c r="C16" s="193" t="s">
        <v>227</v>
      </c>
      <c r="D16" s="190">
        <f>'ФЭМ 0.9'!D18</f>
        <v>15013.089446357499</v>
      </c>
      <c r="E16" s="190">
        <f t="shared" si="0"/>
        <v>-175.99407478829016</v>
      </c>
      <c r="F16" s="190">
        <f>'ФЭМ 1.2'!D18</f>
        <v>14837.095371569209</v>
      </c>
      <c r="G16" s="190">
        <f t="shared" si="1"/>
        <v>-268.46584233914109</v>
      </c>
      <c r="H16" s="190">
        <f>'ФЭМ 1.5'!D18</f>
        <v>14568.629529230067</v>
      </c>
    </row>
    <row r="17" spans="2:8" x14ac:dyDescent="0.3">
      <c r="B17" s="169" t="s">
        <v>224</v>
      </c>
      <c r="C17" s="193" t="s">
        <v>227</v>
      </c>
      <c r="D17" s="190">
        <f>'ФЭМ 0.9'!D19</f>
        <v>1703110.9096723897</v>
      </c>
      <c r="E17" s="190">
        <f t="shared" si="0"/>
        <v>-11549.596045039129</v>
      </c>
      <c r="F17" s="190">
        <f>'ФЭМ 1.2'!D19</f>
        <v>1691561.3136273506</v>
      </c>
      <c r="G17" s="190">
        <f t="shared" si="1"/>
        <v>-21504.82865104964</v>
      </c>
      <c r="H17" s="190">
        <f>'ФЭМ 1.5'!D19</f>
        <v>1670056.484976301</v>
      </c>
    </row>
    <row r="18" spans="2:8" x14ac:dyDescent="0.3">
      <c r="B18" s="182" t="s">
        <v>102</v>
      </c>
      <c r="C18" s="168" t="s">
        <v>2</v>
      </c>
      <c r="D18" s="176">
        <f>'ФЭМ 0.9'!D20</f>
        <v>7.5399999999999995E-2</v>
      </c>
      <c r="E18" s="176">
        <f t="shared" si="0"/>
        <v>0</v>
      </c>
      <c r="F18" s="176">
        <f>'ФЭМ 1.2'!D20</f>
        <v>7.5399999999999995E-2</v>
      </c>
      <c r="G18" s="176">
        <f t="shared" si="1"/>
        <v>0</v>
      </c>
      <c r="H18" s="176">
        <f>'ФЭМ 1.5'!D20</f>
        <v>7.5399999999999995E-2</v>
      </c>
    </row>
    <row r="19" spans="2:8" x14ac:dyDescent="0.3">
      <c r="B19" s="182" t="s">
        <v>133</v>
      </c>
      <c r="C19" s="168" t="s">
        <v>2</v>
      </c>
      <c r="D19" s="176">
        <f>'ФЭМ 0.9'!D21</f>
        <v>0.12130000000000001</v>
      </c>
      <c r="E19" s="176">
        <f t="shared" si="0"/>
        <v>0</v>
      </c>
      <c r="F19" s="176">
        <f>'ФЭМ 1.2'!D21</f>
        <v>0.12130000000000001</v>
      </c>
      <c r="G19" s="176">
        <f t="shared" si="1"/>
        <v>0</v>
      </c>
      <c r="H19" s="176">
        <f>'ФЭМ 1.5'!D21</f>
        <v>0.12130000000000001</v>
      </c>
    </row>
    <row r="20" spans="2:8" x14ac:dyDescent="0.3">
      <c r="B20" s="182" t="s">
        <v>228</v>
      </c>
      <c r="C20" s="193" t="s">
        <v>229</v>
      </c>
      <c r="D20" s="165">
        <f>'ФЭМ 0.9'!D22</f>
        <v>18655.526000000002</v>
      </c>
      <c r="E20" s="165">
        <f t="shared" si="0"/>
        <v>-1277.9470000000001</v>
      </c>
      <c r="F20" s="165">
        <f>'ФЭМ 1.2'!D22</f>
        <v>17377.579000000002</v>
      </c>
      <c r="G20" s="165">
        <f t="shared" si="1"/>
        <v>-1320.0460000000021</v>
      </c>
      <c r="H20" s="165">
        <f>'ФЭМ 1.5'!D22</f>
        <v>16057.532999999999</v>
      </c>
    </row>
    <row r="21" spans="2:8" x14ac:dyDescent="0.3">
      <c r="B21" s="182" t="s">
        <v>230</v>
      </c>
      <c r="C21" s="193"/>
      <c r="D21" s="165"/>
      <c r="E21" s="165"/>
      <c r="F21" s="165"/>
      <c r="G21" s="165"/>
      <c r="H21" s="165"/>
    </row>
    <row r="22" spans="2:8" x14ac:dyDescent="0.3">
      <c r="B22" s="169" t="s">
        <v>219</v>
      </c>
      <c r="C22" s="179" t="s">
        <v>2</v>
      </c>
      <c r="D22" s="180">
        <f>'ФЭМ 0.9'!D24</f>
        <v>1.8003566342755486</v>
      </c>
      <c r="E22" s="180">
        <f t="shared" si="0"/>
        <v>8.0049146069342214E-2</v>
      </c>
      <c r="F22" s="180">
        <f>'ФЭМ 1.2'!D24</f>
        <v>1.8804057803448908</v>
      </c>
      <c r="G22" s="180">
        <f t="shared" si="1"/>
        <v>0.13401841849222307</v>
      </c>
      <c r="H22" s="180">
        <f>'ФЭМ 1.5'!D24</f>
        <v>2.0144241988371139</v>
      </c>
    </row>
    <row r="23" spans="2:8" x14ac:dyDescent="0.3">
      <c r="B23" s="169" t="s">
        <v>220</v>
      </c>
      <c r="C23" s="179" t="s">
        <v>2</v>
      </c>
      <c r="D23" s="180">
        <f>'ФЭМ 0.9'!D25</f>
        <v>3.5521217681023836</v>
      </c>
      <c r="E23" s="180">
        <f t="shared" si="0"/>
        <v>0.24456935901031773</v>
      </c>
      <c r="F23" s="180">
        <f>'ФЭМ 1.2'!D25</f>
        <v>3.7966911271127013</v>
      </c>
      <c r="G23" s="180">
        <f t="shared" si="1"/>
        <v>0.28149133297312856</v>
      </c>
      <c r="H23" s="180">
        <f>'ФЭМ 1.5'!D25</f>
        <v>4.0781824600858299</v>
      </c>
    </row>
    <row r="24" spans="2:8" x14ac:dyDescent="0.3">
      <c r="B24" s="171" t="s">
        <v>221</v>
      </c>
      <c r="C24" s="179" t="s">
        <v>2</v>
      </c>
      <c r="D24" s="180">
        <f>'ФЭМ 0.9'!D26</f>
        <v>1.0972030485765989</v>
      </c>
      <c r="E24" s="180">
        <f t="shared" si="0"/>
        <v>7.4381324597592613E-2</v>
      </c>
      <c r="F24" s="180">
        <f>'ФЭМ 1.2'!D26</f>
        <v>1.1715843731741915</v>
      </c>
      <c r="G24" s="180">
        <f t="shared" si="1"/>
        <v>8.6669707334989354E-2</v>
      </c>
      <c r="H24" s="180">
        <f>'ФЭМ 1.5'!D26</f>
        <v>1.2582540805091809</v>
      </c>
    </row>
    <row r="25" spans="2:8" x14ac:dyDescent="0.3">
      <c r="B25" s="169" t="s">
        <v>222</v>
      </c>
      <c r="C25" s="179" t="s">
        <v>223</v>
      </c>
      <c r="D25" s="180">
        <f>'ФЭМ 0.9'!D27</f>
        <v>0.74406907636911435</v>
      </c>
      <c r="E25" s="180">
        <f t="shared" si="0"/>
        <v>4.5338930350348527E-2</v>
      </c>
      <c r="F25" s="180">
        <f>'ФЭМ 1.2'!D27</f>
        <v>0.78940800671946287</v>
      </c>
      <c r="G25" s="180">
        <f t="shared" si="1"/>
        <v>5.7853315315479992E-2</v>
      </c>
      <c r="H25" s="180">
        <f>'ФЭМ 1.5'!D27</f>
        <v>0.84726132203494287</v>
      </c>
    </row>
    <row r="26" spans="2:8" x14ac:dyDescent="0.3">
      <c r="B26" s="169" t="s">
        <v>224</v>
      </c>
      <c r="C26" s="179" t="s">
        <v>223</v>
      </c>
      <c r="D26" s="180">
        <f>'ФЭМ 0.9'!D28</f>
        <v>84.409091440252055</v>
      </c>
      <c r="E26" s="180">
        <f t="shared" si="0"/>
        <v>5.5929738647021026</v>
      </c>
      <c r="F26" s="180">
        <f>'ФЭМ 1.2'!D28</f>
        <v>90.002065304954158</v>
      </c>
      <c r="G26" s="180">
        <f t="shared" si="1"/>
        <v>6.6395245676356325</v>
      </c>
      <c r="H26" s="180">
        <f>'ФЭМ 1.5'!D28</f>
        <v>96.64158987258979</v>
      </c>
    </row>
    <row r="27" spans="2:8" x14ac:dyDescent="0.3">
      <c r="B27" s="182" t="s">
        <v>543</v>
      </c>
      <c r="C27" s="182"/>
      <c r="D27" s="182"/>
      <c r="E27" s="182"/>
      <c r="F27" s="182"/>
      <c r="G27" s="182"/>
      <c r="H27" s="182"/>
    </row>
    <row r="28" spans="2:8" x14ac:dyDescent="0.3">
      <c r="B28" s="169" t="s">
        <v>219</v>
      </c>
      <c r="C28" s="179" t="s">
        <v>231</v>
      </c>
      <c r="D28" s="165">
        <f>'ФЭМ 0.9'!D30</f>
        <v>335866</v>
      </c>
      <c r="E28" s="165">
        <f t="shared" si="0"/>
        <v>-9097.0000000000582</v>
      </c>
      <c r="F28" s="165">
        <f>'ФЭМ 1.2'!D30</f>
        <v>326768.99999999994</v>
      </c>
      <c r="G28" s="165">
        <f t="shared" si="1"/>
        <v>-10897.233144641737</v>
      </c>
      <c r="H28" s="165">
        <f>'ФЭМ 1.5'!D30</f>
        <v>315871.7668553582</v>
      </c>
    </row>
    <row r="29" spans="2:8" x14ac:dyDescent="0.3">
      <c r="B29" s="169" t="s">
        <v>220</v>
      </c>
      <c r="C29" s="179" t="s">
        <v>231</v>
      </c>
      <c r="D29" s="165">
        <f>'ФЭМ 0.9'!D31</f>
        <v>662667</v>
      </c>
      <c r="E29" s="165">
        <f t="shared" si="0"/>
        <v>-2894</v>
      </c>
      <c r="F29" s="165">
        <f>'ФЭМ 1.2'!D31</f>
        <v>659773</v>
      </c>
      <c r="G29" s="165">
        <f t="shared" si="1"/>
        <v>-20367.795291094459</v>
      </c>
      <c r="H29" s="165">
        <f>'ФЭМ 1.5'!D31</f>
        <v>639405.20470890554</v>
      </c>
    </row>
    <row r="30" spans="2:8" x14ac:dyDescent="0.3">
      <c r="B30" s="171" t="s">
        <v>221</v>
      </c>
      <c r="C30" s="179" t="s">
        <v>231</v>
      </c>
      <c r="D30" s="165">
        <f>'ФЭМ 0.9'!D32</f>
        <v>204689</v>
      </c>
      <c r="E30" s="165">
        <f t="shared" si="0"/>
        <v>-1096</v>
      </c>
      <c r="F30" s="165">
        <f>'ФЭМ 1.2'!D32</f>
        <v>203593</v>
      </c>
      <c r="G30" s="165">
        <f t="shared" si="1"/>
        <v>-6314.0509950700507</v>
      </c>
      <c r="H30" s="165">
        <f>'ФЭМ 1.5'!D32</f>
        <v>197278.94900492995</v>
      </c>
    </row>
    <row r="31" spans="2:8" x14ac:dyDescent="0.3">
      <c r="B31" s="169" t="s">
        <v>222</v>
      </c>
      <c r="C31" s="185" t="s">
        <v>71</v>
      </c>
      <c r="D31" s="165">
        <f>'ФЭМ 0.9'!D33</f>
        <v>13880.999999999996</v>
      </c>
      <c r="E31" s="165">
        <f t="shared" si="0"/>
        <v>-163</v>
      </c>
      <c r="F31" s="165">
        <f>'ФЭМ 1.2'!D33</f>
        <v>13717.999999999996</v>
      </c>
      <c r="G31" s="165">
        <f t="shared" si="1"/>
        <v>-433.60261874529533</v>
      </c>
      <c r="H31" s="165">
        <f>'ФЭМ 1.5'!D33</f>
        <v>13284.397381254701</v>
      </c>
    </row>
    <row r="32" spans="2:8" x14ac:dyDescent="0.3">
      <c r="B32" s="207" t="s">
        <v>224</v>
      </c>
      <c r="C32" s="186" t="s">
        <v>71</v>
      </c>
      <c r="D32" s="165">
        <f>'ФЭМ 0.9'!D34</f>
        <v>1574695.9999999998</v>
      </c>
      <c r="E32" s="165">
        <f t="shared" si="0"/>
        <v>-10678</v>
      </c>
      <c r="F32" s="165">
        <f>'ФЭМ 1.2'!D34</f>
        <v>1564017.9999999998</v>
      </c>
      <c r="G32" s="165">
        <f t="shared" si="1"/>
        <v>-48782.747337708715</v>
      </c>
      <c r="H32" s="165">
        <f>'ФЭМ 1.5'!D34</f>
        <v>1515235.2526622911</v>
      </c>
    </row>
    <row r="33" spans="2:8" x14ac:dyDescent="0.3">
      <c r="B33" s="561" t="s">
        <v>541</v>
      </c>
      <c r="C33" s="572" t="s">
        <v>229</v>
      </c>
      <c r="D33" s="165">
        <f>'ФЭМ 0.9'!I22</f>
        <v>1500</v>
      </c>
      <c r="E33" s="165"/>
      <c r="F33" s="165">
        <f>'ФЭМ 1.2'!I22</f>
        <v>1500</v>
      </c>
      <c r="G33" s="165"/>
      <c r="H33" s="165">
        <f>'ФЭМ 1.5'!J22</f>
        <v>1500</v>
      </c>
    </row>
    <row r="34" spans="2:8" x14ac:dyDescent="0.3">
      <c r="B34" s="561" t="s">
        <v>540</v>
      </c>
      <c r="C34" s="572" t="s">
        <v>229</v>
      </c>
      <c r="D34" s="165">
        <f>AVERAGE('ФЭМ 0.9'!F22:S22)</f>
        <v>1332.5375714285715</v>
      </c>
      <c r="E34" s="165"/>
      <c r="F34" s="165">
        <f>AVERAGE('ФЭМ 1.2'!F22:R22)</f>
        <v>1336.7368461538463</v>
      </c>
      <c r="G34" s="165"/>
      <c r="H34" s="183">
        <f>AVERAGE('ФЭМ 1.5'!F22:Q22)</f>
        <v>1338.1277499999999</v>
      </c>
    </row>
    <row r="35" spans="2:8" x14ac:dyDescent="0.3">
      <c r="B35" s="564" t="s">
        <v>232</v>
      </c>
      <c r="C35" s="187"/>
      <c r="D35" s="165"/>
      <c r="E35" s="165"/>
      <c r="F35" s="165"/>
      <c r="G35" s="165"/>
      <c r="H35" s="165"/>
    </row>
    <row r="36" spans="2:8" x14ac:dyDescent="0.3">
      <c r="B36" s="182" t="s">
        <v>539</v>
      </c>
      <c r="C36" s="572" t="s">
        <v>229</v>
      </c>
      <c r="D36" s="165">
        <f>D20</f>
        <v>18655.526000000002</v>
      </c>
      <c r="E36" s="165">
        <f t="shared" ref="E36:H36" si="2">E20</f>
        <v>-1277.9470000000001</v>
      </c>
      <c r="F36" s="165">
        <f t="shared" si="2"/>
        <v>17377.579000000002</v>
      </c>
      <c r="G36" s="165">
        <f t="shared" si="2"/>
        <v>-1320.0460000000021</v>
      </c>
      <c r="H36" s="165">
        <f t="shared" si="2"/>
        <v>16057.532999999999</v>
      </c>
    </row>
    <row r="37" spans="2:8" ht="26.4" x14ac:dyDescent="0.3">
      <c r="B37" s="182" t="s">
        <v>542</v>
      </c>
      <c r="C37" s="572" t="s">
        <v>229</v>
      </c>
      <c r="D37" s="165">
        <f>D20/'ФЭМ 0.9'!S6</f>
        <v>1332.5375714285715</v>
      </c>
      <c r="E37" s="165">
        <f t="shared" si="0"/>
        <v>4.1992747252747904</v>
      </c>
      <c r="F37" s="165">
        <f>F20/'ФЭМ 1.2'!R6</f>
        <v>1336.7368461538463</v>
      </c>
      <c r="G37" s="165">
        <f t="shared" si="1"/>
        <v>1.3909038461536056</v>
      </c>
      <c r="H37" s="165">
        <f>H20/'ФЭМ 1.5'!Q6</f>
        <v>1338.1277499999999</v>
      </c>
    </row>
    <row r="38" spans="2:8" x14ac:dyDescent="0.3">
      <c r="B38" s="573" t="s">
        <v>234</v>
      </c>
      <c r="C38" s="574"/>
      <c r="D38" s="165"/>
      <c r="E38" s="165"/>
      <c r="F38" s="165"/>
      <c r="G38" s="165"/>
      <c r="H38" s="165"/>
    </row>
    <row r="39" spans="2:8" x14ac:dyDescent="0.3">
      <c r="B39" s="188" t="s">
        <v>235</v>
      </c>
      <c r="C39" s="572" t="s">
        <v>2</v>
      </c>
      <c r="D39" s="575">
        <f>'ФЭМ 0.9'!D38</f>
        <v>7.1500000000000008E-2</v>
      </c>
      <c r="E39" s="575">
        <f t="shared" si="0"/>
        <v>0</v>
      </c>
      <c r="F39" s="575">
        <f>'ФЭМ 1.2'!D38</f>
        <v>7.1500000000000008E-2</v>
      </c>
      <c r="G39" s="575">
        <f t="shared" si="1"/>
        <v>0</v>
      </c>
      <c r="H39" s="575">
        <f>'ФЭМ 1.5'!D38</f>
        <v>7.1500000000000008E-2</v>
      </c>
    </row>
    <row r="40" spans="2:8" x14ac:dyDescent="0.3">
      <c r="B40" s="188" t="s">
        <v>352</v>
      </c>
      <c r="C40" s="572" t="s">
        <v>2</v>
      </c>
      <c r="D40" s="575">
        <f>'ФЭМ 0.9'!D39</f>
        <v>2.0199999999999999E-2</v>
      </c>
      <c r="E40" s="575">
        <f t="shared" si="0"/>
        <v>0</v>
      </c>
      <c r="F40" s="575">
        <f>'ФЭМ 1.2'!D39</f>
        <v>2.0199999999999999E-2</v>
      </c>
      <c r="G40" s="575">
        <f t="shared" si="1"/>
        <v>0</v>
      </c>
      <c r="H40" s="575">
        <f>'ФЭМ 1.5'!D39</f>
        <v>2.0199999999999999E-2</v>
      </c>
    </row>
    <row r="41" spans="2:8" x14ac:dyDescent="0.3">
      <c r="B41" s="188" t="s">
        <v>236</v>
      </c>
      <c r="C41" s="572" t="s">
        <v>2</v>
      </c>
      <c r="D41" s="575">
        <f>'ФЭМ 0.9'!D40</f>
        <v>8.14E-2</v>
      </c>
      <c r="E41" s="575">
        <f t="shared" si="0"/>
        <v>0</v>
      </c>
      <c r="F41" s="575">
        <f>'ФЭМ 1.2'!D40</f>
        <v>8.14E-2</v>
      </c>
      <c r="G41" s="575">
        <f t="shared" si="1"/>
        <v>0</v>
      </c>
      <c r="H41" s="575">
        <f>'ФЭМ 1.5'!D40</f>
        <v>8.14E-2</v>
      </c>
    </row>
    <row r="42" spans="2:8" x14ac:dyDescent="0.3">
      <c r="B42" s="283"/>
      <c r="C42" s="572"/>
      <c r="D42" s="575"/>
      <c r="E42" s="575"/>
      <c r="F42" s="575"/>
      <c r="G42" s="575"/>
      <c r="H42" s="575"/>
    </row>
    <row r="43" spans="2:8" x14ac:dyDescent="0.3">
      <c r="B43" s="560" t="s">
        <v>237</v>
      </c>
      <c r="C43" s="576"/>
      <c r="D43" s="172"/>
      <c r="E43" s="172"/>
      <c r="F43" s="172"/>
      <c r="G43" s="172"/>
      <c r="H43" s="172"/>
    </row>
    <row r="44" spans="2:8" x14ac:dyDescent="0.3">
      <c r="B44" s="188" t="s">
        <v>235</v>
      </c>
      <c r="C44" s="187" t="s">
        <v>231</v>
      </c>
      <c r="D44" s="190">
        <f>'ФЭМ 0.9'!D43</f>
        <v>1333870.1090000002</v>
      </c>
      <c r="E44" s="190">
        <f t="shared" si="0"/>
        <v>-91373.210500000045</v>
      </c>
      <c r="F44" s="190">
        <f>'ФЭМ 1.2'!D43</f>
        <v>1242496.8985000001</v>
      </c>
      <c r="G44" s="190">
        <f t="shared" si="1"/>
        <v>-94383.288999999873</v>
      </c>
      <c r="H44" s="190">
        <f>'ФЭМ 1.5'!D43</f>
        <v>1148113.6095000003</v>
      </c>
    </row>
    <row r="45" spans="2:8" x14ac:dyDescent="0.3">
      <c r="B45" s="188" t="s">
        <v>352</v>
      </c>
      <c r="C45" s="187" t="s">
        <v>231</v>
      </c>
      <c r="D45" s="190">
        <f>'ФЭМ 0.9'!D44</f>
        <v>376841.62520000001</v>
      </c>
      <c r="E45" s="190">
        <f t="shared" si="0"/>
        <v>-25814.529399999999</v>
      </c>
      <c r="F45" s="190">
        <f>'ФЭМ 1.2'!D44</f>
        <v>351027.09580000001</v>
      </c>
      <c r="G45" s="190">
        <f t="shared" si="1"/>
        <v>-26664.929200000013</v>
      </c>
      <c r="H45" s="190">
        <f>'ФЭМ 1.5'!D44</f>
        <v>324362.1666</v>
      </c>
    </row>
    <row r="46" spans="2:8" x14ac:dyDescent="0.3">
      <c r="B46" s="188" t="s">
        <v>236</v>
      </c>
      <c r="C46" s="187" t="s">
        <v>231</v>
      </c>
      <c r="D46" s="190">
        <f>'ФЭМ 0.9'!D45</f>
        <v>1518559.8163999999</v>
      </c>
      <c r="E46" s="190">
        <f t="shared" si="0"/>
        <v>-104024.88579999981</v>
      </c>
      <c r="F46" s="190">
        <f>'ФЭМ 1.2'!D45</f>
        <v>1414534.9306000001</v>
      </c>
      <c r="G46" s="190">
        <f t="shared" si="1"/>
        <v>-107451.7444000002</v>
      </c>
      <c r="H46" s="190">
        <f>'ФЭМ 1.5'!D45</f>
        <v>1307083.1861999999</v>
      </c>
    </row>
    <row r="47" spans="2:8" x14ac:dyDescent="0.3">
      <c r="B47" s="189" t="s">
        <v>238</v>
      </c>
      <c r="C47" s="577"/>
      <c r="D47" s="123"/>
      <c r="E47" s="123"/>
      <c r="F47" s="123"/>
      <c r="G47" s="123"/>
      <c r="H47" s="123"/>
    </row>
    <row r="48" spans="2:8" x14ac:dyDescent="0.3">
      <c r="B48" s="192" t="s">
        <v>239</v>
      </c>
      <c r="C48" s="578"/>
      <c r="D48" s="193"/>
      <c r="E48" s="193"/>
      <c r="F48" s="193"/>
      <c r="G48" s="193"/>
      <c r="H48" s="193"/>
    </row>
    <row r="49" spans="2:8" x14ac:dyDescent="0.3">
      <c r="B49" s="196" t="s">
        <v>219</v>
      </c>
      <c r="C49" s="185" t="s">
        <v>2</v>
      </c>
      <c r="D49" s="176">
        <f>'ФЭМ 0.9'!D48</f>
        <v>0.87650000000000006</v>
      </c>
      <c r="E49" s="176">
        <f t="shared" si="0"/>
        <v>0</v>
      </c>
      <c r="F49" s="176">
        <f>'ФЭМ 1.2'!D48</f>
        <v>0.87650000000000006</v>
      </c>
      <c r="G49" s="176">
        <f t="shared" si="1"/>
        <v>0</v>
      </c>
      <c r="H49" s="176">
        <f>'ФЭМ 1.5'!D48</f>
        <v>0.87650000000000006</v>
      </c>
    </row>
    <row r="50" spans="2:8" x14ac:dyDescent="0.3">
      <c r="B50" s="196" t="s">
        <v>222</v>
      </c>
      <c r="C50" s="185" t="s">
        <v>2</v>
      </c>
      <c r="D50" s="176">
        <f>'ФЭМ 0.9'!D49</f>
        <v>0.49</v>
      </c>
      <c r="E50" s="176">
        <f t="shared" si="0"/>
        <v>0</v>
      </c>
      <c r="F50" s="176">
        <f>'ФЭМ 1.2'!D49</f>
        <v>0.49</v>
      </c>
      <c r="G50" s="176">
        <f t="shared" si="1"/>
        <v>0</v>
      </c>
      <c r="H50" s="176">
        <f>'ФЭМ 1.5'!D49</f>
        <v>0.49</v>
      </c>
    </row>
    <row r="51" spans="2:8" x14ac:dyDescent="0.3">
      <c r="B51" s="196" t="s">
        <v>224</v>
      </c>
      <c r="C51" s="185" t="s">
        <v>2</v>
      </c>
      <c r="D51" s="176">
        <f>'ФЭМ 0.9'!D50</f>
        <v>0.5827</v>
      </c>
      <c r="E51" s="176">
        <f t="shared" si="0"/>
        <v>0</v>
      </c>
      <c r="F51" s="176">
        <f>'ФЭМ 1.2'!D50</f>
        <v>0.5827</v>
      </c>
      <c r="G51" s="176">
        <f t="shared" si="1"/>
        <v>0</v>
      </c>
      <c r="H51" s="176">
        <f>'ФЭМ 1.5'!D50</f>
        <v>0.5827</v>
      </c>
    </row>
    <row r="52" spans="2:8" x14ac:dyDescent="0.3">
      <c r="B52" s="195" t="s">
        <v>353</v>
      </c>
      <c r="C52" s="578"/>
      <c r="D52" s="193"/>
      <c r="E52" s="193"/>
      <c r="F52" s="193"/>
      <c r="G52" s="193"/>
      <c r="H52" s="193"/>
    </row>
    <row r="53" spans="2:8" x14ac:dyDescent="0.3">
      <c r="B53" s="196" t="s">
        <v>221</v>
      </c>
      <c r="C53" s="185" t="s">
        <v>2</v>
      </c>
      <c r="D53" s="176">
        <f>'ФЭМ 0.9'!D52</f>
        <v>0.65239999999999998</v>
      </c>
      <c r="E53" s="176">
        <f t="shared" si="0"/>
        <v>0</v>
      </c>
      <c r="F53" s="176">
        <f>'ФЭМ 1.2'!D52</f>
        <v>0.65239999999999998</v>
      </c>
      <c r="G53" s="176">
        <f t="shared" si="1"/>
        <v>0</v>
      </c>
      <c r="H53" s="176">
        <f>'ФЭМ 1.5'!D52</f>
        <v>0.65239999999999998</v>
      </c>
    </row>
    <row r="54" spans="2:8" x14ac:dyDescent="0.3">
      <c r="B54" s="196" t="s">
        <v>222</v>
      </c>
      <c r="C54" s="185" t="s">
        <v>2</v>
      </c>
      <c r="D54" s="176">
        <f>'ФЭМ 0.9'!D53</f>
        <v>0.1404</v>
      </c>
      <c r="E54" s="176">
        <f t="shared" si="0"/>
        <v>0</v>
      </c>
      <c r="F54" s="176">
        <f>'ФЭМ 1.2'!D53</f>
        <v>0.1404</v>
      </c>
      <c r="G54" s="176">
        <f t="shared" si="1"/>
        <v>0</v>
      </c>
      <c r="H54" s="176">
        <f>'ФЭМ 1.5'!D53</f>
        <v>0.1404</v>
      </c>
    </row>
    <row r="55" spans="2:8" x14ac:dyDescent="0.3">
      <c r="B55" s="196" t="s">
        <v>224</v>
      </c>
      <c r="C55" s="185" t="s">
        <v>2</v>
      </c>
      <c r="D55" s="176">
        <f>'ФЭМ 0.9'!D54</f>
        <v>9.3000000000000013E-2</v>
      </c>
      <c r="E55" s="176">
        <f t="shared" si="0"/>
        <v>0</v>
      </c>
      <c r="F55" s="176">
        <f>'ФЭМ 1.2'!D54</f>
        <v>9.3000000000000013E-2</v>
      </c>
      <c r="G55" s="176">
        <f t="shared" si="1"/>
        <v>0</v>
      </c>
      <c r="H55" s="176">
        <f>'ФЭМ 1.5'!D54</f>
        <v>9.3000000000000013E-2</v>
      </c>
    </row>
    <row r="56" spans="2:8" x14ac:dyDescent="0.3">
      <c r="B56" s="195" t="s">
        <v>240</v>
      </c>
      <c r="C56" s="578"/>
      <c r="D56" s="176"/>
      <c r="E56" s="176"/>
      <c r="F56" s="176"/>
      <c r="G56" s="176"/>
      <c r="H56" s="176"/>
    </row>
    <row r="57" spans="2:8" x14ac:dyDescent="0.3">
      <c r="B57" s="196" t="s">
        <v>220</v>
      </c>
      <c r="C57" s="185" t="s">
        <v>2</v>
      </c>
      <c r="D57" s="176">
        <f>'ФЭМ 0.9'!D56</f>
        <v>0.85040000000000004</v>
      </c>
      <c r="E57" s="176">
        <f t="shared" si="0"/>
        <v>0</v>
      </c>
      <c r="F57" s="176">
        <f>'ФЭМ 1.2'!D56</f>
        <v>0.85040000000000004</v>
      </c>
      <c r="G57" s="176">
        <f t="shared" si="1"/>
        <v>0</v>
      </c>
      <c r="H57" s="176">
        <f>'ФЭМ 1.5'!D56</f>
        <v>0.85040000000000004</v>
      </c>
    </row>
    <row r="58" spans="2:8" x14ac:dyDescent="0.3">
      <c r="B58" s="196" t="s">
        <v>224</v>
      </c>
      <c r="C58" s="185" t="s">
        <v>2</v>
      </c>
      <c r="D58" s="176">
        <f>'ФЭМ 0.9'!D57</f>
        <v>0.1115</v>
      </c>
      <c r="E58" s="176">
        <f t="shared" si="0"/>
        <v>0</v>
      </c>
      <c r="F58" s="176">
        <f>'ФЭМ 1.2'!D57</f>
        <v>0.1115</v>
      </c>
      <c r="G58" s="176">
        <f t="shared" si="1"/>
        <v>0</v>
      </c>
      <c r="H58" s="176">
        <f>'ФЭМ 1.5'!D57</f>
        <v>0.1115</v>
      </c>
    </row>
    <row r="59" spans="2:8" x14ac:dyDescent="0.3">
      <c r="B59" s="194" t="s">
        <v>241</v>
      </c>
      <c r="C59" s="572"/>
      <c r="D59" s="172"/>
      <c r="E59" s="172"/>
      <c r="F59" s="172"/>
      <c r="G59" s="172"/>
      <c r="H59" s="172"/>
    </row>
    <row r="60" spans="2:8" x14ac:dyDescent="0.3">
      <c r="B60" s="195" t="s">
        <v>242</v>
      </c>
      <c r="C60" s="578"/>
      <c r="D60" s="170"/>
      <c r="E60" s="170"/>
      <c r="F60" s="170"/>
      <c r="G60" s="170"/>
      <c r="H60" s="170"/>
    </row>
    <row r="61" spans="2:8" x14ac:dyDescent="0.3">
      <c r="B61" s="196" t="s">
        <v>219</v>
      </c>
      <c r="C61" s="185" t="s">
        <v>231</v>
      </c>
      <c r="D61" s="165">
        <f>'ФЭМ 0.9'!D60</f>
        <v>294386.549</v>
      </c>
      <c r="E61" s="165">
        <f t="shared" si="0"/>
        <v>-7973.5205000000424</v>
      </c>
      <c r="F61" s="165">
        <f>'ФЭМ 1.2'!D60</f>
        <v>286413.02849999996</v>
      </c>
      <c r="G61" s="165">
        <f t="shared" si="1"/>
        <v>-9551.4248512784834</v>
      </c>
      <c r="H61" s="165">
        <f>'ФЭМ 1.5'!D60</f>
        <v>276861.60364872147</v>
      </c>
    </row>
    <row r="62" spans="2:8" x14ac:dyDescent="0.3">
      <c r="B62" s="196" t="s">
        <v>222</v>
      </c>
      <c r="C62" s="185" t="s">
        <v>71</v>
      </c>
      <c r="D62" s="165">
        <f>'ФЭМ 0.9'!D61</f>
        <v>6801.6899999999987</v>
      </c>
      <c r="E62" s="165">
        <f t="shared" si="0"/>
        <v>-79.8700000000008</v>
      </c>
      <c r="F62" s="165">
        <f>'ФЭМ 1.2'!D61</f>
        <v>6721.8199999999979</v>
      </c>
      <c r="G62" s="165">
        <f t="shared" si="1"/>
        <v>-212.46528318519449</v>
      </c>
      <c r="H62" s="165">
        <f>'ФЭМ 1.5'!D61</f>
        <v>6509.3547168148034</v>
      </c>
    </row>
    <row r="63" spans="2:8" x14ac:dyDescent="0.3">
      <c r="B63" s="196" t="s">
        <v>224</v>
      </c>
      <c r="C63" s="185" t="s">
        <v>71</v>
      </c>
      <c r="D63" s="165">
        <f>'ФЭМ 0.9'!D62</f>
        <v>917575.3592000003</v>
      </c>
      <c r="E63" s="165">
        <f t="shared" si="0"/>
        <v>-6222.0706000004429</v>
      </c>
      <c r="F63" s="165">
        <f>'ФЭМ 1.2'!D62</f>
        <v>911353.28859999985</v>
      </c>
      <c r="G63" s="165">
        <f t="shared" si="1"/>
        <v>-28425.706873683026</v>
      </c>
      <c r="H63" s="165">
        <f>'ФЭМ 1.5'!D62</f>
        <v>882927.58172631683</v>
      </c>
    </row>
    <row r="64" spans="2:8" x14ac:dyDescent="0.3">
      <c r="B64" s="195" t="s">
        <v>354</v>
      </c>
      <c r="C64" s="578"/>
      <c r="D64" s="165"/>
      <c r="E64" s="165"/>
      <c r="F64" s="165"/>
      <c r="G64" s="165"/>
      <c r="H64" s="165"/>
    </row>
    <row r="65" spans="2:8" x14ac:dyDescent="0.3">
      <c r="B65" s="196" t="s">
        <v>221</v>
      </c>
      <c r="C65" s="185" t="s">
        <v>231</v>
      </c>
      <c r="D65" s="165">
        <f>'ФЭМ 0.9'!D64</f>
        <v>133539.10359999997</v>
      </c>
      <c r="E65" s="165">
        <f t="shared" si="0"/>
        <v>-715.03039999995963</v>
      </c>
      <c r="F65" s="165">
        <f>'ФЭМ 1.2'!D64</f>
        <v>132824.07320000001</v>
      </c>
      <c r="G65" s="165">
        <f t="shared" si="1"/>
        <v>-4119.2868691837211</v>
      </c>
      <c r="H65" s="165">
        <f>'ФЭМ 1.5'!D64</f>
        <v>128704.78633081629</v>
      </c>
    </row>
    <row r="66" spans="2:8" x14ac:dyDescent="0.3">
      <c r="B66" s="196" t="s">
        <v>222</v>
      </c>
      <c r="C66" s="185" t="s">
        <v>71</v>
      </c>
      <c r="D66" s="165">
        <f>'ФЭМ 0.9'!D65</f>
        <v>1948.8924000000002</v>
      </c>
      <c r="E66" s="165">
        <f t="shared" si="0"/>
        <v>-22.885200000000623</v>
      </c>
      <c r="F66" s="165">
        <f>'ФЭМ 1.2'!D65</f>
        <v>1926.0071999999996</v>
      </c>
      <c r="G66" s="165">
        <f t="shared" si="1"/>
        <v>-60.877807671839491</v>
      </c>
      <c r="H66" s="165">
        <f>'ФЭМ 1.5'!D65</f>
        <v>1865.1293923281601</v>
      </c>
    </row>
    <row r="67" spans="2:8" x14ac:dyDescent="0.3">
      <c r="B67" s="196" t="s">
        <v>224</v>
      </c>
      <c r="C67" s="185" t="s">
        <v>71</v>
      </c>
      <c r="D67" s="165">
        <f>'ФЭМ 0.9'!D66</f>
        <v>146446.728</v>
      </c>
      <c r="E67" s="165">
        <f t="shared" si="0"/>
        <v>-993.05400000000373</v>
      </c>
      <c r="F67" s="165">
        <f>'ФЭМ 1.2'!D66</f>
        <v>145453.674</v>
      </c>
      <c r="G67" s="165">
        <f t="shared" si="1"/>
        <v>-4536.7955024069233</v>
      </c>
      <c r="H67" s="165">
        <f>'ФЭМ 1.5'!D66</f>
        <v>140916.87849759308</v>
      </c>
    </row>
    <row r="68" spans="2:8" x14ac:dyDescent="0.3">
      <c r="B68" s="195" t="s">
        <v>243</v>
      </c>
      <c r="C68" s="578"/>
      <c r="D68" s="165"/>
      <c r="E68" s="165"/>
      <c r="F68" s="165"/>
      <c r="G68" s="165"/>
      <c r="H68" s="165"/>
    </row>
    <row r="69" spans="2:8" x14ac:dyDescent="0.3">
      <c r="B69" s="196" t="s">
        <v>220</v>
      </c>
      <c r="C69" s="185" t="s">
        <v>231</v>
      </c>
      <c r="D69" s="165">
        <f>'ФЭМ 0.9'!D68</f>
        <v>563532.0168000001</v>
      </c>
      <c r="E69" s="165">
        <f t="shared" si="0"/>
        <v>-2461.0576000001747</v>
      </c>
      <c r="F69" s="165">
        <f>'ФЭМ 1.2'!D68</f>
        <v>561070.95919999992</v>
      </c>
      <c r="G69" s="165">
        <f t="shared" si="1"/>
        <v>-17320.773115546675</v>
      </c>
      <c r="H69" s="165">
        <f>'ФЭМ 1.5'!D68</f>
        <v>543750.18608445325</v>
      </c>
    </row>
    <row r="70" spans="2:8" x14ac:dyDescent="0.3">
      <c r="B70" s="196" t="s">
        <v>224</v>
      </c>
      <c r="C70" s="185" t="s">
        <v>71</v>
      </c>
      <c r="D70" s="165">
        <f>'ФЭМ 0.9'!D69</f>
        <v>175578.60399999996</v>
      </c>
      <c r="E70" s="165">
        <f t="shared" si="0"/>
        <v>-1190.5969999999797</v>
      </c>
      <c r="F70" s="165">
        <f>'ФЭМ 1.2'!D69</f>
        <v>174388.00699999998</v>
      </c>
      <c r="G70" s="165">
        <f t="shared" si="1"/>
        <v>-5439.2763281545485</v>
      </c>
      <c r="H70" s="165">
        <f>'ФЭМ 1.5'!D69</f>
        <v>168948.73067184543</v>
      </c>
    </row>
    <row r="71" spans="2:8" x14ac:dyDescent="0.3">
      <c r="B71" s="189" t="s">
        <v>244</v>
      </c>
      <c r="C71" s="572"/>
      <c r="D71" s="193"/>
      <c r="E71" s="193"/>
      <c r="F71" s="193"/>
      <c r="G71" s="193"/>
      <c r="H71" s="193"/>
    </row>
    <row r="72" spans="2:8" x14ac:dyDescent="0.3">
      <c r="B72" s="195" t="s">
        <v>242</v>
      </c>
      <c r="C72" s="578"/>
      <c r="D72" s="191"/>
      <c r="E72" s="191"/>
      <c r="F72" s="191"/>
      <c r="G72" s="191"/>
      <c r="H72" s="191"/>
    </row>
    <row r="73" spans="2:8" x14ac:dyDescent="0.3">
      <c r="B73" s="196" t="s">
        <v>219</v>
      </c>
      <c r="C73" s="185" t="s">
        <v>2</v>
      </c>
      <c r="D73" s="172">
        <f>'ФЭМ 0.9'!D72</f>
        <v>22.070106153042218</v>
      </c>
      <c r="E73" s="172">
        <f t="shared" ref="E73:E136" si="3">F73-D73</f>
        <v>0.98130176964724924</v>
      </c>
      <c r="F73" s="172">
        <f>'ФЭМ 1.2'!D72</f>
        <v>23.051407922689467</v>
      </c>
      <c r="G73" s="172">
        <f t="shared" ref="G73:G136" si="4">H73-F73</f>
        <v>1.6428971162018655</v>
      </c>
      <c r="H73" s="172">
        <f>'ФЭМ 1.5'!D72</f>
        <v>24.694305038891333</v>
      </c>
    </row>
    <row r="74" spans="2:8" x14ac:dyDescent="0.3">
      <c r="B74" s="196" t="s">
        <v>222</v>
      </c>
      <c r="C74" s="185" t="s">
        <v>223</v>
      </c>
      <c r="D74" s="172">
        <f>'ФЭМ 0.9'!D73</f>
        <v>5.0992146492428816</v>
      </c>
      <c r="E74" s="172">
        <f t="shared" si="3"/>
        <v>0.31071434785553631</v>
      </c>
      <c r="F74" s="172">
        <f>'ФЭМ 1.2'!D73</f>
        <v>5.4099289970984179</v>
      </c>
      <c r="G74" s="172">
        <f t="shared" si="4"/>
        <v>0.39647726579839304</v>
      </c>
      <c r="H74" s="172">
        <f>'ФЭМ 1.5'!D73</f>
        <v>5.8064062628968109</v>
      </c>
    </row>
    <row r="75" spans="2:8" x14ac:dyDescent="0.3">
      <c r="B75" s="196" t="s">
        <v>224</v>
      </c>
      <c r="C75" s="185" t="s">
        <v>223</v>
      </c>
      <c r="D75" s="172">
        <f>'ФЭМ 0.9'!D74</f>
        <v>687.9045815697184</v>
      </c>
      <c r="E75" s="172">
        <f t="shared" si="3"/>
        <v>45.580781412054876</v>
      </c>
      <c r="F75" s="172">
        <f>'ФЭМ 1.2'!D74</f>
        <v>733.48536298177328</v>
      </c>
      <c r="G75" s="172">
        <f t="shared" si="4"/>
        <v>54.109803714143595</v>
      </c>
      <c r="H75" s="172">
        <f>'ФЭМ 1.5'!D74</f>
        <v>787.59516669591687</v>
      </c>
    </row>
    <row r="76" spans="2:8" x14ac:dyDescent="0.3">
      <c r="B76" s="195" t="s">
        <v>354</v>
      </c>
      <c r="C76" s="185"/>
      <c r="D76" s="172"/>
      <c r="E76" s="172"/>
      <c r="F76" s="172"/>
      <c r="G76" s="172"/>
      <c r="H76" s="172"/>
    </row>
    <row r="77" spans="2:8" x14ac:dyDescent="0.3">
      <c r="B77" s="196" t="s">
        <v>221</v>
      </c>
      <c r="C77" s="185" t="s">
        <v>2</v>
      </c>
      <c r="D77" s="172">
        <f>'ФЭМ 0.9'!D76</f>
        <v>35.436399450067952</v>
      </c>
      <c r="E77" s="172">
        <f t="shared" si="3"/>
        <v>2.4022958498747471</v>
      </c>
      <c r="F77" s="172">
        <f>'ФЭМ 1.2'!D76</f>
        <v>37.8386952999427</v>
      </c>
      <c r="G77" s="172">
        <f t="shared" si="4"/>
        <v>2.7991741121458986</v>
      </c>
      <c r="H77" s="172">
        <f>'ФЭМ 1.5'!D76</f>
        <v>40.637869412088598</v>
      </c>
    </row>
    <row r="78" spans="2:8" x14ac:dyDescent="0.3">
      <c r="B78" s="196" t="s">
        <v>222</v>
      </c>
      <c r="C78" s="185" t="s">
        <v>223</v>
      </c>
      <c r="D78" s="172">
        <f>'ФЭМ 0.9'!D77</f>
        <v>0.51716484317932498</v>
      </c>
      <c r="E78" s="172">
        <f t="shared" si="3"/>
        <v>3.1512801094994769E-2</v>
      </c>
      <c r="F78" s="172">
        <f>'ФЭМ 1.2'!D77</f>
        <v>0.54867764427431975</v>
      </c>
      <c r="G78" s="172">
        <f t="shared" si="4"/>
        <v>4.0210918169769294E-2</v>
      </c>
      <c r="H78" s="172">
        <f>'ФЭМ 1.5'!D77</f>
        <v>0.58888856244408905</v>
      </c>
    </row>
    <row r="79" spans="2:8" x14ac:dyDescent="0.3">
      <c r="B79" s="196" t="s">
        <v>224</v>
      </c>
      <c r="C79" s="185" t="s">
        <v>223</v>
      </c>
      <c r="D79" s="172">
        <f>'ФЭМ 0.9'!D78</f>
        <v>38.861611405660611</v>
      </c>
      <c r="E79" s="172">
        <f t="shared" si="3"/>
        <v>2.5749830169172938</v>
      </c>
      <c r="F79" s="172">
        <f>'ФЭМ 1.2'!D78</f>
        <v>41.436594422577905</v>
      </c>
      <c r="G79" s="172">
        <f t="shared" si="4"/>
        <v>3.0568108157926375</v>
      </c>
      <c r="H79" s="172">
        <f>'ФЭМ 1.5'!D78</f>
        <v>44.493405238370542</v>
      </c>
    </row>
    <row r="80" spans="2:8" x14ac:dyDescent="0.3">
      <c r="B80" s="195" t="s">
        <v>243</v>
      </c>
      <c r="C80" s="578"/>
      <c r="D80" s="172"/>
      <c r="E80" s="172"/>
      <c r="F80" s="172"/>
      <c r="G80" s="172"/>
      <c r="H80" s="172"/>
    </row>
    <row r="81" spans="2:8" x14ac:dyDescent="0.3">
      <c r="B81" s="196" t="s">
        <v>220</v>
      </c>
      <c r="C81" s="185" t="s">
        <v>2</v>
      </c>
      <c r="D81" s="172">
        <f>'ФЭМ 0.9'!D80</f>
        <v>37.109635768971359</v>
      </c>
      <c r="E81" s="172">
        <f t="shared" si="3"/>
        <v>2.5550587580143826</v>
      </c>
      <c r="F81" s="172">
        <f>'ФЭМ 1.2'!D80</f>
        <v>39.664694526985741</v>
      </c>
      <c r="G81" s="172">
        <f t="shared" si="4"/>
        <v>2.9407890609379521</v>
      </c>
      <c r="H81" s="172">
        <f>'ФЭМ 1.5'!D80</f>
        <v>42.605483587923693</v>
      </c>
    </row>
    <row r="82" spans="2:8" x14ac:dyDescent="0.3">
      <c r="B82" s="196" t="s">
        <v>224</v>
      </c>
      <c r="C82" s="185" t="s">
        <v>223</v>
      </c>
      <c r="D82" s="172">
        <f>'ФЭМ 0.9'!D81</f>
        <v>11.562178987208977</v>
      </c>
      <c r="E82" s="172">
        <f t="shared" si="3"/>
        <v>0.76611374190943593</v>
      </c>
      <c r="F82" s="172">
        <f>'ФЭМ 1.2'!D81</f>
        <v>12.328292729118413</v>
      </c>
      <c r="G82" s="172">
        <f t="shared" si="4"/>
        <v>0.90946804581249907</v>
      </c>
      <c r="H82" s="172">
        <f>'ФЭМ 1.5'!D81</f>
        <v>13.237760774930912</v>
      </c>
    </row>
    <row r="83" spans="2:8" x14ac:dyDescent="0.3">
      <c r="B83" s="189" t="s">
        <v>245</v>
      </c>
      <c r="C83" s="199"/>
      <c r="D83" s="165"/>
      <c r="E83" s="165"/>
      <c r="F83" s="165"/>
      <c r="G83" s="165"/>
      <c r="H83" s="165"/>
    </row>
    <row r="84" spans="2:8" x14ac:dyDescent="0.3">
      <c r="B84" s="192" t="s">
        <v>246</v>
      </c>
      <c r="C84" s="185" t="s">
        <v>2</v>
      </c>
      <c r="D84" s="201">
        <f>'ФЭМ 0.9'!D83</f>
        <v>0.93500000000000005</v>
      </c>
      <c r="E84" s="201"/>
      <c r="F84" s="201">
        <f>'ФЭМ 1.2'!D83</f>
        <v>0.93500000000000005</v>
      </c>
      <c r="G84" s="201"/>
      <c r="H84" s="201">
        <f>'ФЭМ 1.5'!D83</f>
        <v>0.93500000000000005</v>
      </c>
    </row>
    <row r="85" spans="2:8" x14ac:dyDescent="0.3">
      <c r="B85" s="192" t="s">
        <v>247</v>
      </c>
      <c r="C85" s="179" t="s">
        <v>2</v>
      </c>
      <c r="D85" s="201">
        <f>'ФЭМ 0.9'!D84</f>
        <v>0.91</v>
      </c>
      <c r="E85" s="201"/>
      <c r="F85" s="201">
        <f>'ФЭМ 1.2'!D84</f>
        <v>0.91</v>
      </c>
      <c r="G85" s="201"/>
      <c r="H85" s="201">
        <f>'ФЭМ 1.5'!D84</f>
        <v>0.91</v>
      </c>
    </row>
    <row r="86" spans="2:8" x14ac:dyDescent="0.3">
      <c r="B86" s="192" t="s">
        <v>248</v>
      </c>
      <c r="C86" s="179" t="s">
        <v>2</v>
      </c>
      <c r="D86" s="201">
        <f>'ФЭМ 0.9'!D85</f>
        <v>0.9</v>
      </c>
      <c r="E86" s="201"/>
      <c r="F86" s="201">
        <f>'ФЭМ 1.2'!D85</f>
        <v>0.9</v>
      </c>
      <c r="G86" s="201"/>
      <c r="H86" s="201">
        <f>'ФЭМ 1.5'!D85</f>
        <v>0.9</v>
      </c>
    </row>
    <row r="87" spans="2:8" x14ac:dyDescent="0.3">
      <c r="B87" s="194" t="s">
        <v>249</v>
      </c>
      <c r="C87" s="579"/>
      <c r="D87" s="165"/>
      <c r="E87" s="165"/>
      <c r="F87" s="165"/>
      <c r="G87" s="165"/>
      <c r="H87" s="165"/>
    </row>
    <row r="88" spans="2:8" x14ac:dyDescent="0.3">
      <c r="B88" s="192" t="s">
        <v>250</v>
      </c>
      <c r="C88" s="179" t="s">
        <v>231</v>
      </c>
      <c r="D88" s="165">
        <f>'ФЭМ 0.9'!D87</f>
        <v>275251.42331499996</v>
      </c>
      <c r="E88" s="165">
        <f t="shared" si="3"/>
        <v>-7455.2416674999404</v>
      </c>
      <c r="F88" s="165">
        <f>'ФЭМ 1.2'!D87</f>
        <v>267796.18164750002</v>
      </c>
      <c r="G88" s="165">
        <f t="shared" si="4"/>
        <v>-8930.5822359453887</v>
      </c>
      <c r="H88" s="165">
        <f>'ФЭМ 1.5'!D87</f>
        <v>258865.59941155463</v>
      </c>
    </row>
    <row r="89" spans="2:8" x14ac:dyDescent="0.3">
      <c r="B89" s="195" t="s">
        <v>366</v>
      </c>
      <c r="C89" s="179" t="s">
        <v>231</v>
      </c>
      <c r="D89" s="165">
        <f>'ФЭМ 0.9'!D88</f>
        <v>121520.58427599999</v>
      </c>
      <c r="E89" s="165">
        <f t="shared" si="3"/>
        <v>-650.67766399997345</v>
      </c>
      <c r="F89" s="165">
        <f>'ФЭМ 1.2'!D88</f>
        <v>120869.90661200002</v>
      </c>
      <c r="G89" s="165">
        <f t="shared" si="4"/>
        <v>-3748.5510509571905</v>
      </c>
      <c r="H89" s="165">
        <f>'ФЭМ 1.5'!D88</f>
        <v>117121.35556104283</v>
      </c>
    </row>
    <row r="90" spans="2:8" x14ac:dyDescent="0.3">
      <c r="B90" s="192" t="s">
        <v>251</v>
      </c>
      <c r="C90" s="179" t="s">
        <v>231</v>
      </c>
      <c r="D90" s="165">
        <f>'ФЭМ 0.9'!D89</f>
        <v>563532.0168000001</v>
      </c>
      <c r="E90" s="165">
        <f t="shared" si="3"/>
        <v>-2461.0576000001747</v>
      </c>
      <c r="F90" s="165">
        <f>'ФЭМ 1.2'!D89</f>
        <v>561070.95919999992</v>
      </c>
      <c r="G90" s="165">
        <f t="shared" si="4"/>
        <v>-17320.773115546675</v>
      </c>
      <c r="H90" s="165">
        <f>'ФЭМ 1.5'!D89</f>
        <v>543750.18608445325</v>
      </c>
    </row>
    <row r="91" spans="2:8" x14ac:dyDescent="0.3">
      <c r="B91" s="192" t="s">
        <v>252</v>
      </c>
      <c r="C91" s="179" t="s">
        <v>71</v>
      </c>
      <c r="D91" s="165">
        <f>'ФЭМ 0.9'!D90</f>
        <v>6189.5378999999984</v>
      </c>
      <c r="E91" s="165">
        <f t="shared" si="3"/>
        <v>-72.681699999998273</v>
      </c>
      <c r="F91" s="165">
        <f>'ФЭМ 1.2'!D90</f>
        <v>6116.8562000000002</v>
      </c>
      <c r="G91" s="165">
        <f t="shared" si="4"/>
        <v>-193.3434076985277</v>
      </c>
      <c r="H91" s="165">
        <f>'ФЭМ 1.5'!D90</f>
        <v>5923.5127923014725</v>
      </c>
    </row>
    <row r="92" spans="2:8" x14ac:dyDescent="0.3">
      <c r="B92" s="192" t="s">
        <v>253</v>
      </c>
      <c r="C92" s="179" t="s">
        <v>71</v>
      </c>
      <c r="D92" s="165">
        <f>'ФЭМ 0.9'!D91</f>
        <v>825817.8232799999</v>
      </c>
      <c r="E92" s="165">
        <f t="shared" si="3"/>
        <v>-5599.8635400000494</v>
      </c>
      <c r="F92" s="165">
        <f>'ФЭМ 1.2'!D91</f>
        <v>820217.95973999985</v>
      </c>
      <c r="G92" s="165">
        <f t="shared" si="4"/>
        <v>-25583.136186314747</v>
      </c>
      <c r="H92" s="165">
        <f>'ФЭМ 1.5'!D91</f>
        <v>794634.8235536851</v>
      </c>
    </row>
    <row r="93" spans="2:8" x14ac:dyDescent="0.3">
      <c r="B93" s="205" t="s">
        <v>254</v>
      </c>
      <c r="C93" s="121"/>
      <c r="D93" s="165"/>
      <c r="E93" s="165"/>
      <c r="F93" s="165"/>
      <c r="G93" s="165"/>
      <c r="H93" s="165"/>
    </row>
    <row r="94" spans="2:8" x14ac:dyDescent="0.3">
      <c r="B94" s="580" t="s">
        <v>255</v>
      </c>
      <c r="C94" s="579"/>
      <c r="D94" s="165"/>
      <c r="E94" s="165"/>
      <c r="F94" s="165"/>
      <c r="G94" s="165"/>
      <c r="H94" s="165"/>
    </row>
    <row r="95" spans="2:8" ht="15.6" x14ac:dyDescent="0.3">
      <c r="B95" s="206" t="s">
        <v>256</v>
      </c>
      <c r="C95" s="581" t="s">
        <v>544</v>
      </c>
      <c r="D95" s="165">
        <f>'ФЭМ 0.9'!D94</f>
        <v>56.863</v>
      </c>
      <c r="E95" s="165">
        <f t="shared" si="3"/>
        <v>0</v>
      </c>
      <c r="F95" s="165">
        <f>'ФЭМ 1.2'!D94</f>
        <v>56.863</v>
      </c>
      <c r="G95" s="165">
        <f t="shared" si="4"/>
        <v>0</v>
      </c>
      <c r="H95" s="165">
        <f>'ФЭМ 1.5'!D94</f>
        <v>56.863</v>
      </c>
    </row>
    <row r="96" spans="2:8" x14ac:dyDescent="0.3">
      <c r="B96" s="171" t="s">
        <v>257</v>
      </c>
      <c r="C96" s="179" t="s">
        <v>258</v>
      </c>
      <c r="D96" s="165">
        <f>'ФЭМ 0.9'!D95</f>
        <v>18655.526000000002</v>
      </c>
      <c r="E96" s="165">
        <f t="shared" si="3"/>
        <v>-1277.9470000000001</v>
      </c>
      <c r="F96" s="165">
        <f>'ФЭМ 1.2'!D95</f>
        <v>17377.579000000002</v>
      </c>
      <c r="G96" s="165">
        <f t="shared" si="4"/>
        <v>-1320.0460000000021</v>
      </c>
      <c r="H96" s="165">
        <f>'ФЭМ 1.5'!D95</f>
        <v>16057.532999999999</v>
      </c>
    </row>
    <row r="97" spans="2:8" ht="15.6" x14ac:dyDescent="0.3">
      <c r="B97" s="207" t="s">
        <v>259</v>
      </c>
      <c r="C97" s="581" t="s">
        <v>544</v>
      </c>
      <c r="D97" s="165">
        <f>'ФЭМ 0.9'!D96</f>
        <v>826.43980180000017</v>
      </c>
      <c r="E97" s="165">
        <f t="shared" si="3"/>
        <v>-56.613052100000118</v>
      </c>
      <c r="F97" s="165">
        <f>'ФЭМ 1.2'!D96</f>
        <v>769.82674970000005</v>
      </c>
      <c r="G97" s="165">
        <f t="shared" si="4"/>
        <v>-58.478037800000152</v>
      </c>
      <c r="H97" s="165">
        <f>'ФЭМ 1.5'!D96</f>
        <v>711.3487118999999</v>
      </c>
    </row>
    <row r="98" spans="2:8" ht="15.6" x14ac:dyDescent="0.3">
      <c r="B98" s="329" t="s">
        <v>393</v>
      </c>
      <c r="C98" s="581" t="s">
        <v>544</v>
      </c>
      <c r="D98" s="165">
        <f>'ФЭМ 0.9'!D97</f>
        <v>4922.3023746701847</v>
      </c>
      <c r="E98" s="165">
        <f t="shared" si="3"/>
        <v>-337.18918205804675</v>
      </c>
      <c r="F98" s="165">
        <f>'ФЭМ 1.2'!D97</f>
        <v>4585.1131926121379</v>
      </c>
      <c r="G98" s="165">
        <f t="shared" si="4"/>
        <v>-348.29709762533003</v>
      </c>
      <c r="H98" s="165">
        <f>'ФЭМ 1.5'!D97</f>
        <v>4236.8160949868079</v>
      </c>
    </row>
    <row r="99" spans="2:8" x14ac:dyDescent="0.3">
      <c r="B99" s="169" t="s">
        <v>37</v>
      </c>
      <c r="C99" s="209" t="s">
        <v>260</v>
      </c>
      <c r="D99" s="165"/>
      <c r="E99" s="165"/>
      <c r="F99" s="165"/>
      <c r="G99" s="165"/>
      <c r="H99" s="165"/>
    </row>
    <row r="100" spans="2:8" x14ac:dyDescent="0.3">
      <c r="B100" s="169" t="s">
        <v>261</v>
      </c>
      <c r="C100" s="209" t="s">
        <v>260</v>
      </c>
      <c r="D100" s="165"/>
      <c r="E100" s="165"/>
      <c r="F100" s="165"/>
      <c r="G100" s="165"/>
      <c r="H100" s="165"/>
    </row>
    <row r="101" spans="2:8" x14ac:dyDescent="0.3">
      <c r="B101" s="210" t="s">
        <v>262</v>
      </c>
      <c r="C101" s="209"/>
      <c r="D101" s="183"/>
      <c r="E101" s="183"/>
      <c r="F101" s="183"/>
      <c r="G101" s="183"/>
      <c r="H101" s="183"/>
    </row>
    <row r="102" spans="2:8" ht="27" x14ac:dyDescent="0.3">
      <c r="B102" s="214" t="s">
        <v>263</v>
      </c>
      <c r="C102" s="168"/>
      <c r="D102" s="183"/>
      <c r="E102" s="183"/>
      <c r="F102" s="183"/>
      <c r="G102" s="183"/>
      <c r="H102" s="183"/>
    </row>
    <row r="103" spans="2:8" x14ac:dyDescent="0.3">
      <c r="B103" s="215" t="s">
        <v>538</v>
      </c>
      <c r="C103" s="168"/>
      <c r="D103" s="183"/>
      <c r="E103" s="183"/>
      <c r="F103" s="183"/>
      <c r="G103" s="183"/>
      <c r="H103" s="183"/>
    </row>
    <row r="104" spans="2:8" x14ac:dyDescent="0.3">
      <c r="B104" s="192" t="s">
        <v>250</v>
      </c>
      <c r="C104" s="185" t="s">
        <v>3</v>
      </c>
      <c r="D104" s="216">
        <f>'ФЭМ 0.9'!D103</f>
        <v>8819.7037865535276</v>
      </c>
      <c r="E104" s="216">
        <f t="shared" si="3"/>
        <v>-75.288115996259876</v>
      </c>
      <c r="F104" s="216">
        <f>'ФЭМ 1.2'!D103</f>
        <v>8744.4156705572677</v>
      </c>
      <c r="G104" s="216">
        <f t="shared" si="4"/>
        <v>-71.825597266053592</v>
      </c>
      <c r="H104" s="216">
        <f>'ФЭМ 1.5'!D103</f>
        <v>8672.5900732912141</v>
      </c>
    </row>
    <row r="105" spans="2:8" x14ac:dyDescent="0.3">
      <c r="B105" s="195" t="s">
        <v>366</v>
      </c>
      <c r="C105" s="185" t="s">
        <v>3</v>
      </c>
      <c r="D105" s="216">
        <f>'ФЭМ 0.9'!D104</f>
        <v>2138.4796371596744</v>
      </c>
      <c r="E105" s="216">
        <f t="shared" si="3"/>
        <v>-22.526320887683596</v>
      </c>
      <c r="F105" s="216">
        <f>'ФЭМ 1.2'!D104</f>
        <v>2115.9533162719908</v>
      </c>
      <c r="G105" s="216">
        <f t="shared" si="4"/>
        <v>-22.307959648867381</v>
      </c>
      <c r="H105" s="216">
        <f>'ФЭМ 1.5'!D104</f>
        <v>2093.6453566231235</v>
      </c>
    </row>
    <row r="106" spans="2:8" x14ac:dyDescent="0.3">
      <c r="B106" s="217" t="s">
        <v>251</v>
      </c>
      <c r="C106" s="185" t="s">
        <v>3</v>
      </c>
      <c r="D106" s="216">
        <f>'ФЭМ 0.9'!D105</f>
        <v>1666.5028349688623</v>
      </c>
      <c r="E106" s="216">
        <f t="shared" si="3"/>
        <v>-16.450160131731536</v>
      </c>
      <c r="F106" s="216">
        <f>'ФЭМ 1.2'!D105</f>
        <v>1650.0526748371308</v>
      </c>
      <c r="G106" s="216">
        <f t="shared" si="4"/>
        <v>-16.119378132965494</v>
      </c>
      <c r="H106" s="216">
        <f>'ФЭМ 1.5'!D105</f>
        <v>1633.9332967041653</v>
      </c>
    </row>
    <row r="107" spans="2:8" x14ac:dyDescent="0.3">
      <c r="B107" s="648" t="s">
        <v>252</v>
      </c>
      <c r="C107" s="218" t="s">
        <v>265</v>
      </c>
      <c r="D107" s="216">
        <f>'ФЭМ 0.9'!D106</f>
        <v>1774.3080696391221</v>
      </c>
      <c r="E107" s="216">
        <f t="shared" si="3"/>
        <v>-15.655740173382583</v>
      </c>
      <c r="F107" s="216">
        <f>'ФЭМ 1.2'!D106</f>
        <v>1758.6523294657395</v>
      </c>
      <c r="G107" s="216">
        <f t="shared" si="4"/>
        <v>-15.033277437748211</v>
      </c>
      <c r="H107" s="216">
        <f>'ФЭМ 1.5'!D106</f>
        <v>1743.6190520279913</v>
      </c>
    </row>
    <row r="108" spans="2:8" x14ac:dyDescent="0.3">
      <c r="B108" s="648"/>
      <c r="C108" s="185" t="s">
        <v>53</v>
      </c>
      <c r="D108" s="216">
        <f>'ФЭМ 0.9'!D107</f>
        <v>57.045329081638918</v>
      </c>
      <c r="E108" s="216">
        <f t="shared" si="3"/>
        <v>-0.5033437346586993</v>
      </c>
      <c r="F108" s="216">
        <f>'ФЭМ 1.2'!D107</f>
        <v>56.541985346980219</v>
      </c>
      <c r="G108" s="216">
        <f t="shared" si="4"/>
        <v>-0.48333109299692012</v>
      </c>
      <c r="H108" s="216">
        <f>'ФЭМ 1.5'!D107</f>
        <v>56.058654253983299</v>
      </c>
    </row>
    <row r="109" spans="2:8" x14ac:dyDescent="0.3">
      <c r="B109" s="648" t="s">
        <v>253</v>
      </c>
      <c r="C109" s="218" t="s">
        <v>265</v>
      </c>
      <c r="D109" s="216">
        <f>'ФЭМ 0.9'!D108</f>
        <v>23.936959677340692</v>
      </c>
      <c r="E109" s="216">
        <f t="shared" si="3"/>
        <v>-0.24966325542442647</v>
      </c>
      <c r="F109" s="216">
        <f>'ФЭМ 1.2'!D108</f>
        <v>23.687296421916265</v>
      </c>
      <c r="G109" s="216">
        <f t="shared" si="4"/>
        <v>-0.24685781433853293</v>
      </c>
      <c r="H109" s="216">
        <f>'ФЭМ 1.5'!D108</f>
        <v>23.440438607577732</v>
      </c>
    </row>
    <row r="110" spans="2:8" x14ac:dyDescent="0.3">
      <c r="B110" s="648"/>
      <c r="C110" s="185" t="s">
        <v>53</v>
      </c>
      <c r="D110" s="216">
        <f>'ФЭМ 0.9'!D109</f>
        <v>0.76959112420964748</v>
      </c>
      <c r="E110" s="216">
        <f t="shared" si="3"/>
        <v>-8.0268600526492984E-3</v>
      </c>
      <c r="F110" s="216">
        <f>'ФЭМ 1.2'!D109</f>
        <v>0.76156426415699818</v>
      </c>
      <c r="G110" s="216">
        <f t="shared" si="4"/>
        <v>-7.9366630272835748E-3</v>
      </c>
      <c r="H110" s="216">
        <f>'ФЭМ 1.5'!D109</f>
        <v>0.75362760112971461</v>
      </c>
    </row>
    <row r="111" spans="2:8" x14ac:dyDescent="0.3">
      <c r="B111" s="649" t="s">
        <v>266</v>
      </c>
      <c r="C111" s="562" t="s">
        <v>6</v>
      </c>
      <c r="D111" s="165">
        <f>'ФЭМ 0.9'!D110</f>
        <v>4567632.6089464203</v>
      </c>
      <c r="E111" s="165">
        <f t="shared" si="3"/>
        <v>-106559.85350081883</v>
      </c>
      <c r="F111" s="165">
        <f>'ФЭМ 1.2'!D110</f>
        <v>4461072.7554456014</v>
      </c>
      <c r="G111" s="165">
        <f t="shared" si="4"/>
        <v>-163623.66843685787</v>
      </c>
      <c r="H111" s="165">
        <f>'ФЭМ 1.5'!D110</f>
        <v>4297449.0870087435</v>
      </c>
    </row>
    <row r="112" spans="2:8" x14ac:dyDescent="0.3">
      <c r="B112" s="650"/>
      <c r="C112" s="564" t="s">
        <v>3</v>
      </c>
      <c r="D112" s="177">
        <f>'ФЭМ 0.9'!D111</f>
        <v>244.84073024509843</v>
      </c>
      <c r="E112" s="177">
        <f t="shared" si="3"/>
        <v>11.873554031531853</v>
      </c>
      <c r="F112" s="177">
        <f>'ФЭМ 1.2'!D111</f>
        <v>256.71428427663028</v>
      </c>
      <c r="G112" s="177">
        <f t="shared" si="4"/>
        <v>10.913942737366426</v>
      </c>
      <c r="H112" s="177">
        <f>'ФЭМ 1.5'!D111</f>
        <v>267.62822701399671</v>
      </c>
    </row>
    <row r="113" spans="2:8" x14ac:dyDescent="0.3">
      <c r="B113" s="221" t="s">
        <v>250</v>
      </c>
      <c r="C113" s="179" t="s">
        <v>6</v>
      </c>
      <c r="D113" s="165">
        <f>'ФЭМ 0.9'!D112</f>
        <v>2406348.2320271987</v>
      </c>
      <c r="E113" s="165">
        <f t="shared" si="3"/>
        <v>-81359.775811923202</v>
      </c>
      <c r="F113" s="165">
        <f>'ФЭМ 1.2'!D112</f>
        <v>2324988.4562152755</v>
      </c>
      <c r="G113" s="165">
        <f t="shared" si="4"/>
        <v>-86917.62211142201</v>
      </c>
      <c r="H113" s="165">
        <f>'ФЭМ 1.5'!D112</f>
        <v>2238070.8341038534</v>
      </c>
    </row>
    <row r="114" spans="2:8" x14ac:dyDescent="0.3">
      <c r="B114" s="195" t="s">
        <v>366</v>
      </c>
      <c r="C114" s="179" t="s">
        <v>6</v>
      </c>
      <c r="D114" s="165">
        <f>'ФЭМ 0.9'!D113</f>
        <v>250844.5059959004</v>
      </c>
      <c r="E114" s="165">
        <f t="shared" si="3"/>
        <v>2768.4559535703738</v>
      </c>
      <c r="F114" s="165">
        <f>'ФЭМ 1.2'!D113</f>
        <v>253612.96194947077</v>
      </c>
      <c r="G114" s="165">
        <f t="shared" si="4"/>
        <v>-9172.696689486882</v>
      </c>
      <c r="H114" s="165">
        <f>'ФЭМ 1.5'!D113</f>
        <v>244440.26525998389</v>
      </c>
    </row>
    <row r="115" spans="2:8" x14ac:dyDescent="0.3">
      <c r="B115" s="192" t="s">
        <v>251</v>
      </c>
      <c r="C115" s="179" t="s">
        <v>6</v>
      </c>
      <c r="D115" s="165">
        <f>'ФЭМ 0.9'!D114</f>
        <v>931034.89352079027</v>
      </c>
      <c r="E115" s="165">
        <f t="shared" si="3"/>
        <v>-11626.8525165834</v>
      </c>
      <c r="F115" s="165">
        <f>'ФЭМ 1.2'!D114</f>
        <v>919408.04100420687</v>
      </c>
      <c r="G115" s="165">
        <f t="shared" si="4"/>
        <v>-32993.819048694917</v>
      </c>
      <c r="H115" s="165">
        <f>'ФЭМ 1.5'!D114</f>
        <v>886414.22195551195</v>
      </c>
    </row>
    <row r="116" spans="2:8" x14ac:dyDescent="0.3">
      <c r="B116" s="192" t="s">
        <v>252</v>
      </c>
      <c r="C116" s="179" t="s">
        <v>6</v>
      </c>
      <c r="D116" s="165">
        <f>'ФЭМ 0.9'!D115</f>
        <v>349707.75164838746</v>
      </c>
      <c r="E116" s="165">
        <f t="shared" si="3"/>
        <v>-6611.2784628754598</v>
      </c>
      <c r="F116" s="165">
        <f>'ФЭМ 1.2'!D115</f>
        <v>343096.473185512</v>
      </c>
      <c r="G116" s="165">
        <f t="shared" si="4"/>
        <v>-12089.191146088473</v>
      </c>
      <c r="H116" s="165">
        <f>'ФЭМ 1.5'!D115</f>
        <v>331007.28203942353</v>
      </c>
    </row>
    <row r="117" spans="2:8" x14ac:dyDescent="0.3">
      <c r="B117" s="192" t="s">
        <v>253</v>
      </c>
      <c r="C117" s="179" t="s">
        <v>6</v>
      </c>
      <c r="D117" s="165">
        <f>'ФЭМ 0.9'!D116</f>
        <v>629697.22575414379</v>
      </c>
      <c r="E117" s="165">
        <f t="shared" si="3"/>
        <v>-9730.4026630070293</v>
      </c>
      <c r="F117" s="165">
        <f>'ФЭМ 1.2'!D116</f>
        <v>619966.82309113676</v>
      </c>
      <c r="G117" s="165">
        <f t="shared" si="4"/>
        <v>-22450.339441166027</v>
      </c>
      <c r="H117" s="165">
        <f>'ФЭМ 1.5'!D116</f>
        <v>597516.48364997073</v>
      </c>
    </row>
    <row r="118" spans="2:8" x14ac:dyDescent="0.3">
      <c r="B118" s="215" t="s">
        <v>267</v>
      </c>
      <c r="C118" s="222" t="s">
        <v>2</v>
      </c>
      <c r="D118" s="183">
        <f>'ФЭМ 0.9'!D117</f>
        <v>100</v>
      </c>
      <c r="E118" s="183">
        <f t="shared" si="3"/>
        <v>0</v>
      </c>
      <c r="F118" s="183">
        <f>'ФЭМ 1.2'!D117</f>
        <v>100</v>
      </c>
      <c r="G118" s="183">
        <f t="shared" si="4"/>
        <v>0</v>
      </c>
      <c r="H118" s="183">
        <f>'ФЭМ 1.5'!D117</f>
        <v>100</v>
      </c>
    </row>
    <row r="119" spans="2:8" x14ac:dyDescent="0.3">
      <c r="B119" s="192" t="s">
        <v>250</v>
      </c>
      <c r="C119" s="222" t="s">
        <v>2</v>
      </c>
      <c r="D119" s="183">
        <f>'ФЭМ 0.9'!D118</f>
        <v>52.682613468386023</v>
      </c>
      <c r="E119" s="183">
        <f t="shared" si="3"/>
        <v>-0.56536311919192173</v>
      </c>
      <c r="F119" s="183">
        <f>'ФЭМ 1.2'!D118</f>
        <v>52.117250349194101</v>
      </c>
      <c r="G119" s="183">
        <f t="shared" si="4"/>
        <v>-3.8196268726295557E-2</v>
      </c>
      <c r="H119" s="183">
        <f>'ФЭМ 1.5'!D118</f>
        <v>52.079054080467806</v>
      </c>
    </row>
    <row r="120" spans="2:8" x14ac:dyDescent="0.3">
      <c r="B120" s="195" t="s">
        <v>366</v>
      </c>
      <c r="C120" s="222" t="s">
        <v>2</v>
      </c>
      <c r="D120" s="183">
        <f>'ФЭМ 0.9'!D119</f>
        <v>5.4917837635317328</v>
      </c>
      <c r="E120" s="183">
        <f t="shared" si="3"/>
        <v>0.19323811018434078</v>
      </c>
      <c r="F120" s="183">
        <f>'ФЭМ 1.2'!D119</f>
        <v>5.6850218737160736</v>
      </c>
      <c r="G120" s="183">
        <f t="shared" si="4"/>
        <v>3.0098006772458774E-3</v>
      </c>
      <c r="H120" s="183">
        <f>'ФЭМ 1.5'!D119</f>
        <v>5.6880316743933195</v>
      </c>
    </row>
    <row r="121" spans="2:8" x14ac:dyDescent="0.3">
      <c r="B121" s="192" t="s">
        <v>251</v>
      </c>
      <c r="C121" s="222" t="s">
        <v>2</v>
      </c>
      <c r="D121" s="183">
        <f>'ФЭМ 0.9'!D120</f>
        <v>20.383313922779461</v>
      </c>
      <c r="E121" s="183">
        <f t="shared" si="3"/>
        <v>0.22625896261882517</v>
      </c>
      <c r="F121" s="183">
        <f>'ФЭМ 1.2'!D120</f>
        <v>20.609572885398286</v>
      </c>
      <c r="G121" s="183">
        <f t="shared" si="4"/>
        <v>1.6947732033951723E-2</v>
      </c>
      <c r="H121" s="183">
        <f>'ФЭМ 1.5'!D120</f>
        <v>20.626520617432238</v>
      </c>
    </row>
    <row r="122" spans="2:8" x14ac:dyDescent="0.3">
      <c r="B122" s="192" t="s">
        <v>252</v>
      </c>
      <c r="C122" s="222" t="s">
        <v>2</v>
      </c>
      <c r="D122" s="183">
        <f>'ФЭМ 0.9'!D121</f>
        <v>7.6562145336170504</v>
      </c>
      <c r="E122" s="183">
        <f t="shared" si="3"/>
        <v>3.4681625085952739E-2</v>
      </c>
      <c r="F122" s="183">
        <f>'ФЭМ 1.2'!D121</f>
        <v>7.6908961587030031</v>
      </c>
      <c r="G122" s="183">
        <f t="shared" si="4"/>
        <v>1.151695516177309E-2</v>
      </c>
      <c r="H122" s="183">
        <f>'ФЭМ 1.5'!D121</f>
        <v>7.7024131138647762</v>
      </c>
    </row>
    <row r="123" spans="2:8" x14ac:dyDescent="0.3">
      <c r="B123" s="192" t="s">
        <v>253</v>
      </c>
      <c r="C123" s="222" t="s">
        <v>2</v>
      </c>
      <c r="D123" s="183">
        <f>'ФЭМ 0.9'!D122</f>
        <v>13.786074311685745</v>
      </c>
      <c r="E123" s="183">
        <f t="shared" si="3"/>
        <v>0.11118442130280393</v>
      </c>
      <c r="F123" s="183">
        <f>'ФЭМ 1.2'!D122</f>
        <v>13.897258732988549</v>
      </c>
      <c r="G123" s="183">
        <f t="shared" si="4"/>
        <v>6.7217808533133194E-3</v>
      </c>
      <c r="H123" s="183">
        <f>'ФЭМ 1.5'!D122</f>
        <v>13.903980513841862</v>
      </c>
    </row>
    <row r="124" spans="2:8" ht="27" x14ac:dyDescent="0.3">
      <c r="B124" s="223" t="s">
        <v>268</v>
      </c>
      <c r="C124" s="224" t="s">
        <v>269</v>
      </c>
      <c r="D124" s="165">
        <f>'ФЭМ 0.9'!D123</f>
        <v>233670.63447786268</v>
      </c>
      <c r="E124" s="165">
        <f t="shared" si="3"/>
        <v>-15522.828706807806</v>
      </c>
      <c r="F124" s="165">
        <f>'ФЭМ 1.2'!D123</f>
        <v>218147.80577105487</v>
      </c>
      <c r="G124" s="165">
        <f t="shared" si="4"/>
        <v>-18364.931553505274</v>
      </c>
      <c r="H124" s="165">
        <f>'ФЭМ 1.5'!D123</f>
        <v>199782.8742175496</v>
      </c>
    </row>
    <row r="125" spans="2:8" x14ac:dyDescent="0.3">
      <c r="B125" s="214" t="s">
        <v>270</v>
      </c>
      <c r="C125" s="168"/>
      <c r="D125" s="183"/>
      <c r="E125" s="183"/>
      <c r="F125" s="183"/>
      <c r="G125" s="183"/>
      <c r="H125" s="183"/>
    </row>
    <row r="126" spans="2:8" x14ac:dyDescent="0.3">
      <c r="B126" s="651" t="s">
        <v>32</v>
      </c>
      <c r="C126" s="553" t="s">
        <v>271</v>
      </c>
      <c r="D126" s="165">
        <f>'ФЭМ 0.9'!D125</f>
        <v>1313417.6236792614</v>
      </c>
      <c r="E126" s="165">
        <f t="shared" si="3"/>
        <v>-100823.0567087729</v>
      </c>
      <c r="F126" s="165">
        <f>'ФЭМ 1.2'!D125</f>
        <v>1212594.5669704885</v>
      </c>
      <c r="G126" s="165">
        <f t="shared" si="4"/>
        <v>-102766.44475665921</v>
      </c>
      <c r="H126" s="165">
        <f>'ФЭМ 1.5'!D125</f>
        <v>1109828.1222138293</v>
      </c>
    </row>
    <row r="127" spans="2:8" x14ac:dyDescent="0.3">
      <c r="B127" s="652"/>
      <c r="C127" s="564" t="s">
        <v>3</v>
      </c>
      <c r="D127" s="228">
        <f>'ФЭМ 0.9'!D126</f>
        <v>70.403676834373968</v>
      </c>
      <c r="E127" s="228">
        <f t="shared" si="3"/>
        <v>-0.62441891988032694</v>
      </c>
      <c r="F127" s="228">
        <f>'ФЭМ 1.2'!D126</f>
        <v>69.779257914493641</v>
      </c>
      <c r="G127" s="228">
        <f t="shared" si="4"/>
        <v>-0.66352748355949132</v>
      </c>
      <c r="H127" s="228">
        <f>'ФЭМ 1.5'!D126</f>
        <v>69.11573043093415</v>
      </c>
    </row>
    <row r="128" spans="2:8" hidden="1" outlineLevel="1" x14ac:dyDescent="0.3">
      <c r="B128" s="168" t="s">
        <v>272</v>
      </c>
      <c r="C128" s="168"/>
      <c r="D128" s="183"/>
      <c r="E128" s="183"/>
      <c r="F128" s="183"/>
      <c r="G128" s="183"/>
      <c r="H128" s="183"/>
    </row>
    <row r="129" spans="2:8" ht="15.6" hidden="1" outlineLevel="1" x14ac:dyDescent="0.3">
      <c r="B129" s="672" t="s">
        <v>273</v>
      </c>
      <c r="C129" s="193" t="s">
        <v>545</v>
      </c>
      <c r="D129" s="172">
        <f>'ФЭМ 0.9'!D128</f>
        <v>136.79533984431862</v>
      </c>
      <c r="E129" s="172">
        <f t="shared" si="3"/>
        <v>-1.4522580400606557</v>
      </c>
      <c r="F129" s="172">
        <f>'ФЭМ 1.2'!D128</f>
        <v>135.34308180425796</v>
      </c>
      <c r="G129" s="172">
        <f t="shared" si="4"/>
        <v>-1.439930631108183</v>
      </c>
      <c r="H129" s="172">
        <f>'ФЭМ 1.5'!D128</f>
        <v>133.90315117314978</v>
      </c>
    </row>
    <row r="130" spans="2:8" hidden="1" outlineLevel="1" x14ac:dyDescent="0.3">
      <c r="B130" s="673"/>
      <c r="C130" s="209" t="s">
        <v>271</v>
      </c>
      <c r="D130" s="165">
        <f>'ФЭМ 0.9'!D129</f>
        <v>112063.71507911498</v>
      </c>
      <c r="E130" s="165">
        <f t="shared" si="3"/>
        <v>-8602.4476120297331</v>
      </c>
      <c r="F130" s="165">
        <f>'ФЭМ 1.2'!D129</f>
        <v>103461.26746708524</v>
      </c>
      <c r="G130" s="165">
        <f t="shared" si="4"/>
        <v>-8768.2618059007946</v>
      </c>
      <c r="H130" s="165">
        <f>'ФЭМ 1.5'!D129</f>
        <v>94693.005661184448</v>
      </c>
    </row>
    <row r="131" spans="2:8" hidden="1" outlineLevel="1" x14ac:dyDescent="0.3">
      <c r="B131" s="672" t="s">
        <v>274</v>
      </c>
      <c r="C131" s="193" t="s">
        <v>275</v>
      </c>
      <c r="D131" s="172">
        <f>'ФЭМ 0.9'!D130</f>
        <v>17.292777982007532</v>
      </c>
      <c r="E131" s="172">
        <f t="shared" si="3"/>
        <v>-0.18358502481104111</v>
      </c>
      <c r="F131" s="172">
        <f>'ФЭМ 1.2'!D130</f>
        <v>17.109192957196491</v>
      </c>
      <c r="G131" s="172">
        <f t="shared" si="4"/>
        <v>-0.18202667387341975</v>
      </c>
      <c r="H131" s="172">
        <f>'ФЭМ 1.5'!D130</f>
        <v>16.927166283323071</v>
      </c>
    </row>
    <row r="132" spans="2:8" hidden="1" outlineLevel="1" x14ac:dyDescent="0.3">
      <c r="B132" s="673"/>
      <c r="C132" s="209" t="s">
        <v>271</v>
      </c>
      <c r="D132" s="165">
        <f>'ФЭМ 0.9'!D131</f>
        <v>319782.54362471873</v>
      </c>
      <c r="E132" s="165">
        <f t="shared" si="3"/>
        <v>-24547.754612910678</v>
      </c>
      <c r="F132" s="165">
        <f>'ФЭМ 1.2'!D131</f>
        <v>295234.78901180805</v>
      </c>
      <c r="G132" s="165">
        <f t="shared" si="4"/>
        <v>-25020.918336313393</v>
      </c>
      <c r="H132" s="165">
        <f>'ФЭМ 1.5'!D131</f>
        <v>270213.87067549466</v>
      </c>
    </row>
    <row r="133" spans="2:8" ht="15.6" hidden="1" outlineLevel="1" x14ac:dyDescent="0.3">
      <c r="B133" s="672" t="s">
        <v>392</v>
      </c>
      <c r="C133" s="193" t="s">
        <v>545</v>
      </c>
      <c r="D133" s="172">
        <f>'ФЭМ 0.9'!D132</f>
        <v>32.011263914624102</v>
      </c>
      <c r="E133" s="172">
        <f t="shared" si="3"/>
        <v>-0.33984063671630338</v>
      </c>
      <c r="F133" s="172">
        <f>'ФЭМ 1.2'!D132</f>
        <v>31.671423277907799</v>
      </c>
      <c r="G133" s="172">
        <f t="shared" si="4"/>
        <v>-0.33695591899265409</v>
      </c>
      <c r="H133" s="172">
        <f>'ФЭМ 1.5'!D132</f>
        <v>31.334467358915145</v>
      </c>
    </row>
    <row r="134" spans="2:8" hidden="1" outlineLevel="1" x14ac:dyDescent="0.3">
      <c r="B134" s="673"/>
      <c r="C134" s="209" t="s">
        <v>271</v>
      </c>
      <c r="D134" s="165">
        <f>'ФЭМ 0.9'!D133</f>
        <v>156190.13451027844</v>
      </c>
      <c r="E134" s="165">
        <f t="shared" si="3"/>
        <v>-11989.76357951347</v>
      </c>
      <c r="F134" s="165">
        <f>'ФЭМ 1.2'!D133</f>
        <v>144200.37093076497</v>
      </c>
      <c r="G134" s="165">
        <f t="shared" si="4"/>
        <v>-12220.869082540477</v>
      </c>
      <c r="H134" s="165">
        <f>'ФЭМ 1.5'!D133</f>
        <v>131979.50184822449</v>
      </c>
    </row>
    <row r="135" spans="2:8" hidden="1" outlineLevel="1" x14ac:dyDescent="0.3">
      <c r="B135" s="674" t="s">
        <v>403</v>
      </c>
      <c r="C135" s="582" t="s">
        <v>39</v>
      </c>
      <c r="D135" s="554">
        <f>'ФЭМ 0.9'!D134</f>
        <v>69.713675723193276</v>
      </c>
      <c r="E135" s="554">
        <f t="shared" si="3"/>
        <v>-0.74010011003598208</v>
      </c>
      <c r="F135" s="554">
        <f>'ФЭМ 1.2'!D134</f>
        <v>68.973575613157294</v>
      </c>
      <c r="G135" s="554">
        <f t="shared" si="4"/>
        <v>-0.73381781276474101</v>
      </c>
      <c r="H135" s="554">
        <f>'ФЭМ 1.5'!D134</f>
        <v>68.239757800392553</v>
      </c>
    </row>
    <row r="136" spans="2:8" hidden="1" outlineLevel="1" x14ac:dyDescent="0.3">
      <c r="B136" s="675"/>
      <c r="C136" s="556" t="s">
        <v>271</v>
      </c>
      <c r="D136" s="557">
        <f>'ФЭМ 0.9'!D135</f>
        <v>0</v>
      </c>
      <c r="E136" s="557">
        <f t="shared" si="3"/>
        <v>0</v>
      </c>
      <c r="F136" s="557">
        <f>'ФЭМ 1.2'!D135</f>
        <v>0</v>
      </c>
      <c r="G136" s="557">
        <f t="shared" si="4"/>
        <v>0</v>
      </c>
      <c r="H136" s="557">
        <f>'ФЭМ 1.5'!D135</f>
        <v>0</v>
      </c>
    </row>
    <row r="137" spans="2:8" hidden="1" outlineLevel="1" x14ac:dyDescent="0.3">
      <c r="B137" s="672" t="s">
        <v>276</v>
      </c>
      <c r="C137" s="193" t="s">
        <v>275</v>
      </c>
      <c r="D137" s="172">
        <f>'ФЭМ 0.9'!D136</f>
        <v>28.155597795805324</v>
      </c>
      <c r="E137" s="172">
        <f t="shared" ref="E137:E200" si="5">F137-D137</f>
        <v>-0.29890779406817813</v>
      </c>
      <c r="F137" s="172">
        <f>'ФЭМ 1.2'!D136</f>
        <v>27.856690001737146</v>
      </c>
      <c r="G137" s="172">
        <f t="shared" ref="G137:G200" si="6">H137-F137</f>
        <v>-0.2963705324280852</v>
      </c>
      <c r="H137" s="172">
        <f>'ФЭМ 1.5'!D136</f>
        <v>27.560319469309061</v>
      </c>
    </row>
    <row r="138" spans="2:8" hidden="1" outlineLevel="1" x14ac:dyDescent="0.3">
      <c r="B138" s="673"/>
      <c r="C138" s="209" t="s">
        <v>271</v>
      </c>
      <c r="D138" s="165">
        <f>'ФЭМ 0.9'!D137</f>
        <v>520660.63010726892</v>
      </c>
      <c r="E138" s="165">
        <f t="shared" si="5"/>
        <v>-39967.939586708439</v>
      </c>
      <c r="F138" s="165">
        <f>'ФЭМ 1.2'!D137</f>
        <v>480692.69052056049</v>
      </c>
      <c r="G138" s="165">
        <f t="shared" si="6"/>
        <v>-40738.330989498121</v>
      </c>
      <c r="H138" s="165">
        <f>'ФЭМ 1.5'!D137</f>
        <v>439954.35953106236</v>
      </c>
    </row>
    <row r="139" spans="2:8" hidden="1" outlineLevel="1" x14ac:dyDescent="0.3">
      <c r="B139" s="672" t="s">
        <v>277</v>
      </c>
      <c r="C139" s="193" t="s">
        <v>275</v>
      </c>
      <c r="D139" s="172">
        <f>'ФЭМ 0.9'!D138</f>
        <v>11.070610203434727</v>
      </c>
      <c r="E139" s="172">
        <f t="shared" si="5"/>
        <v>-0.11752873083697501</v>
      </c>
      <c r="F139" s="172">
        <f>'ФЭМ 1.2'!D138</f>
        <v>10.953081472597752</v>
      </c>
      <c r="G139" s="172">
        <f t="shared" si="6"/>
        <v>-0.11653109495634872</v>
      </c>
      <c r="H139" s="172">
        <f>'ФЭМ 1.5'!D138</f>
        <v>10.836550377641403</v>
      </c>
    </row>
    <row r="140" spans="2:8" hidden="1" outlineLevel="1" x14ac:dyDescent="0.3">
      <c r="B140" s="673"/>
      <c r="C140" s="209" t="s">
        <v>271</v>
      </c>
      <c r="D140" s="165">
        <f>'ФЭМ 0.9'!D139</f>
        <v>204720.60035788061</v>
      </c>
      <c r="E140" s="165">
        <f t="shared" si="5"/>
        <v>-15715.151317611046</v>
      </c>
      <c r="F140" s="165">
        <f>'ФЭМ 1.2'!D139</f>
        <v>189005.44904026957</v>
      </c>
      <c r="G140" s="165">
        <f t="shared" si="6"/>
        <v>-16018.06454240621</v>
      </c>
      <c r="H140" s="165">
        <f>'ФЭМ 1.5'!D139</f>
        <v>172987.38449786336</v>
      </c>
    </row>
    <row r="141" spans="2:8" collapsed="1" x14ac:dyDescent="0.3">
      <c r="B141" s="660" t="s">
        <v>278</v>
      </c>
      <c r="C141" s="224" t="s">
        <v>271</v>
      </c>
      <c r="D141" s="165">
        <f>'ФЭМ 0.9'!D140</f>
        <v>942924.48711643135</v>
      </c>
      <c r="E141" s="165">
        <f t="shared" si="5"/>
        <v>-65533.43443509296</v>
      </c>
      <c r="F141" s="165">
        <f>'ФЭМ 1.2'!D140</f>
        <v>877391.05268133839</v>
      </c>
      <c r="G141" s="165">
        <f t="shared" si="6"/>
        <v>-68027.325246831635</v>
      </c>
      <c r="H141" s="165">
        <f>'ФЭМ 1.5'!D140</f>
        <v>809363.72743450676</v>
      </c>
    </row>
    <row r="142" spans="2:8" x14ac:dyDescent="0.3">
      <c r="B142" s="661"/>
      <c r="C142" s="564" t="s">
        <v>3</v>
      </c>
      <c r="D142" s="230">
        <f>'ФЭМ 0.9'!D141</f>
        <v>50.543977538689141</v>
      </c>
      <c r="E142" s="230">
        <f t="shared" si="5"/>
        <v>-5.4145055042347678E-2</v>
      </c>
      <c r="F142" s="230">
        <f>'ФЭМ 1.2'!D141</f>
        <v>50.489832483646794</v>
      </c>
      <c r="G142" s="230">
        <f t="shared" si="6"/>
        <v>-8.5842815090188651E-2</v>
      </c>
      <c r="H142" s="230">
        <f>'ФЭМ 1.5'!D141</f>
        <v>50.403989668556605</v>
      </c>
    </row>
    <row r="143" spans="2:8" x14ac:dyDescent="0.3">
      <c r="B143" s="168" t="s">
        <v>272</v>
      </c>
      <c r="C143" s="564"/>
      <c r="D143" s="180"/>
      <c r="E143" s="180"/>
      <c r="F143" s="180"/>
      <c r="G143" s="180"/>
      <c r="H143" s="180"/>
    </row>
    <row r="144" spans="2:8" x14ac:dyDescent="0.3">
      <c r="B144" s="662" t="s">
        <v>279</v>
      </c>
      <c r="C144" s="563" t="s">
        <v>271</v>
      </c>
      <c r="D144" s="165">
        <f>'ФЭМ 0.9'!D143</f>
        <v>634655.20840873732</v>
      </c>
      <c r="E144" s="165">
        <f t="shared" si="5"/>
        <v>-48718.607786504319</v>
      </c>
      <c r="F144" s="165">
        <f>'ФЭМ 1.2'!D143</f>
        <v>585936.600622233</v>
      </c>
      <c r="G144" s="165">
        <f t="shared" si="6"/>
        <v>-49657.670369732659</v>
      </c>
      <c r="H144" s="165">
        <f>'ФЭМ 1.5'!D143</f>
        <v>536278.93025250034</v>
      </c>
    </row>
    <row r="145" spans="2:8" x14ac:dyDescent="0.3">
      <c r="B145" s="663"/>
      <c r="C145" s="564" t="s">
        <v>3</v>
      </c>
      <c r="D145" s="230">
        <f>'ФЭМ 0.9'!D144</f>
        <v>34.019689844646422</v>
      </c>
      <c r="E145" s="230">
        <f t="shared" si="5"/>
        <v>-0.30172483800004102</v>
      </c>
      <c r="F145" s="230">
        <f>'ФЭМ 1.2'!D144</f>
        <v>33.717965006646381</v>
      </c>
      <c r="G145" s="230">
        <f t="shared" si="6"/>
        <v>-0.32062244770533255</v>
      </c>
      <c r="H145" s="230">
        <f>'ФЭМ 1.5'!D144</f>
        <v>33.397342558941048</v>
      </c>
    </row>
    <row r="146" spans="2:8" hidden="1" outlineLevel="1" x14ac:dyDescent="0.3">
      <c r="B146" s="656" t="s">
        <v>280</v>
      </c>
      <c r="C146" s="193" t="s">
        <v>275</v>
      </c>
      <c r="D146" s="172">
        <f>'ФЭМ 0.9'!D145</f>
        <v>24.761688098401972</v>
      </c>
      <c r="E146" s="172">
        <f t="shared" si="5"/>
        <v>-0.26287708826414402</v>
      </c>
      <c r="F146" s="172">
        <f>'ФЭМ 1.2'!D145</f>
        <v>24.498811010137828</v>
      </c>
      <c r="G146" s="172">
        <f t="shared" si="6"/>
        <v>-0.26064567120059223</v>
      </c>
      <c r="H146" s="172">
        <f>'ФЭМ 1.5'!D145</f>
        <v>24.238165338937236</v>
      </c>
    </row>
    <row r="147" spans="2:8" hidden="1" outlineLevel="1" x14ac:dyDescent="0.3">
      <c r="B147" s="658"/>
      <c r="C147" s="209" t="s">
        <v>271</v>
      </c>
      <c r="D147" s="165">
        <f>'ФЭМ 0.9'!D146</f>
        <v>457899.57014353905</v>
      </c>
      <c r="E147" s="165">
        <f t="shared" si="5"/>
        <v>-35150.155971090426</v>
      </c>
      <c r="F147" s="165">
        <f>'ФЭМ 1.2'!D146</f>
        <v>422749.41417244863</v>
      </c>
      <c r="G147" s="165">
        <f t="shared" si="6"/>
        <v>-35827.683465548791</v>
      </c>
      <c r="H147" s="165">
        <f>'ФЭМ 1.5'!D146</f>
        <v>386921.73070689983</v>
      </c>
    </row>
    <row r="148" spans="2:8" hidden="1" outlineLevel="1" x14ac:dyDescent="0.3">
      <c r="B148" s="656" t="s">
        <v>396</v>
      </c>
      <c r="C148" s="193" t="s">
        <v>275</v>
      </c>
      <c r="D148" s="172">
        <f>'ФЭМ 0.9'!D147</f>
        <v>7.2611197267575038</v>
      </c>
      <c r="E148" s="172">
        <f t="shared" si="5"/>
        <v>-7.7086101873262258E-2</v>
      </c>
      <c r="F148" s="172">
        <f>'ФЭМ 1.2'!D147</f>
        <v>7.1840336248842416</v>
      </c>
      <c r="G148" s="172">
        <f t="shared" si="6"/>
        <v>-7.6431760925488312E-2</v>
      </c>
      <c r="H148" s="172">
        <f>'ФЭМ 1.5'!D147</f>
        <v>7.1076018639587533</v>
      </c>
    </row>
    <row r="149" spans="2:8" hidden="1" outlineLevel="1" x14ac:dyDescent="0.3">
      <c r="B149" s="658"/>
      <c r="C149" s="209" t="s">
        <v>271</v>
      </c>
      <c r="D149" s="165">
        <f>'ФЭМ 0.9'!D148</f>
        <v>134274.51264348999</v>
      </c>
      <c r="E149" s="165">
        <f t="shared" si="5"/>
        <v>-10307.435014366347</v>
      </c>
      <c r="F149" s="165">
        <f>'ФЭМ 1.2'!D148</f>
        <v>123967.07762912364</v>
      </c>
      <c r="G149" s="165">
        <f t="shared" si="6"/>
        <v>-10506.113240014078</v>
      </c>
      <c r="H149" s="165">
        <f>'ФЭМ 1.5'!D148</f>
        <v>113460.96438910956</v>
      </c>
    </row>
    <row r="150" spans="2:8" hidden="1" outlineLevel="1" x14ac:dyDescent="0.3">
      <c r="B150" s="656" t="s">
        <v>281</v>
      </c>
      <c r="C150" s="193" t="s">
        <v>275</v>
      </c>
      <c r="D150" s="172">
        <f>'ФЭМ 0.9'!D149</f>
        <v>2.2972381965417226</v>
      </c>
      <c r="E150" s="172">
        <f t="shared" si="5"/>
        <v>-2.4388130799330998E-2</v>
      </c>
      <c r="F150" s="172">
        <f>'ФЭМ 1.2'!D149</f>
        <v>2.2728500657423916</v>
      </c>
      <c r="G150" s="172">
        <f t="shared" si="6"/>
        <v>-2.4181113551943412E-2</v>
      </c>
      <c r="H150" s="172">
        <f>'ФЭМ 1.5'!D149</f>
        <v>2.2486689521904482</v>
      </c>
    </row>
    <row r="151" spans="2:8" hidden="1" outlineLevel="1" x14ac:dyDescent="0.3">
      <c r="B151" s="658"/>
      <c r="C151" s="209" t="s">
        <v>271</v>
      </c>
      <c r="D151" s="165">
        <f>'ФЭМ 0.9'!D150</f>
        <v>42481.125621708299</v>
      </c>
      <c r="E151" s="165">
        <f t="shared" si="5"/>
        <v>-3261.0168010475463</v>
      </c>
      <c r="F151" s="165">
        <f>'ФЭМ 1.2'!D150</f>
        <v>39220.108820660753</v>
      </c>
      <c r="G151" s="165">
        <f t="shared" si="6"/>
        <v>-3323.8736641697978</v>
      </c>
      <c r="H151" s="165">
        <f>'ФЭМ 1.5'!D150</f>
        <v>35896.235156490955</v>
      </c>
    </row>
    <row r="152" spans="2:8" collapsed="1" x14ac:dyDescent="0.3">
      <c r="B152" s="670" t="s">
        <v>547</v>
      </c>
      <c r="C152" s="563" t="s">
        <v>271</v>
      </c>
      <c r="D152" s="165">
        <f>'ФЭМ 0.9'!D151</f>
        <v>249547.31544498578</v>
      </c>
      <c r="E152" s="165">
        <f t="shared" si="5"/>
        <v>-15613.861268826469</v>
      </c>
      <c r="F152" s="165">
        <f>'ФЭМ 1.2'!D151</f>
        <v>233933.45417615931</v>
      </c>
      <c r="G152" s="165">
        <f t="shared" si="6"/>
        <v>-16236.239407279791</v>
      </c>
      <c r="H152" s="165">
        <f>'ФЭМ 1.5'!D151</f>
        <v>217697.21476887952</v>
      </c>
    </row>
    <row r="153" spans="2:8" x14ac:dyDescent="0.3">
      <c r="B153" s="671"/>
      <c r="C153" s="564" t="s">
        <v>3</v>
      </c>
      <c r="D153" s="228">
        <f>'ФЭМ 0.9'!D152</f>
        <v>13.376589619879159</v>
      </c>
      <c r="E153" s="228">
        <f t="shared" si="5"/>
        <v>8.5208147011114121E-2</v>
      </c>
      <c r="F153" s="228">
        <f>'ФЭМ 1.2'!D152</f>
        <v>13.461797766890273</v>
      </c>
      <c r="G153" s="228">
        <f t="shared" si="6"/>
        <v>9.5528552718070259E-2</v>
      </c>
      <c r="H153" s="228">
        <f>'ФЭМ 1.5'!D152</f>
        <v>13.557326319608343</v>
      </c>
    </row>
    <row r="154" spans="2:8" hidden="1" outlineLevel="1" x14ac:dyDescent="0.3">
      <c r="B154" s="656" t="s">
        <v>283</v>
      </c>
      <c r="C154" s="193" t="s">
        <v>284</v>
      </c>
      <c r="D154" s="172">
        <f>'ФЭМ 0.9'!D153</f>
        <v>17.408217087361386</v>
      </c>
      <c r="E154" s="172">
        <f t="shared" si="5"/>
        <v>-0.18481055902206478</v>
      </c>
      <c r="F154" s="172">
        <f>'ФЭМ 1.2'!D153</f>
        <v>17.223406528339321</v>
      </c>
      <c r="G154" s="172">
        <f t="shared" si="6"/>
        <v>-0.18324180520768607</v>
      </c>
      <c r="H154" s="172">
        <f>'ФЭМ 1.5'!D153</f>
        <v>17.040164723131635</v>
      </c>
    </row>
    <row r="155" spans="2:8" hidden="1" outlineLevel="1" x14ac:dyDescent="0.3">
      <c r="B155" s="658"/>
      <c r="C155" s="209" t="s">
        <v>271</v>
      </c>
      <c r="D155" s="165">
        <f>'ФЭМ 0.9'!D154</f>
        <v>23017.085059215231</v>
      </c>
      <c r="E155" s="165">
        <f t="shared" si="5"/>
        <v>-1766.881173480142</v>
      </c>
      <c r="F155" s="165">
        <f>'ФЭМ 1.2'!D154</f>
        <v>21250.203885735089</v>
      </c>
      <c r="G155" s="165">
        <f t="shared" si="6"/>
        <v>-1800.9382222015884</v>
      </c>
      <c r="H155" s="165">
        <f>'ФЭМ 1.5'!D154</f>
        <v>19449.265663533501</v>
      </c>
    </row>
    <row r="156" spans="2:8" hidden="1" outlineLevel="1" x14ac:dyDescent="0.3">
      <c r="B156" s="656" t="s">
        <v>285</v>
      </c>
      <c r="C156" s="193" t="s">
        <v>284</v>
      </c>
      <c r="D156" s="172">
        <f>'ФЭМ 0.9'!D155</f>
        <v>110.99469979773195</v>
      </c>
      <c r="E156" s="172">
        <f t="shared" si="5"/>
        <v>-1.1783511438973164</v>
      </c>
      <c r="F156" s="172">
        <f>'ФЭМ 1.2'!D155</f>
        <v>109.81634865383464</v>
      </c>
      <c r="G156" s="172">
        <f t="shared" si="6"/>
        <v>-1.168348777899169</v>
      </c>
      <c r="H156" s="172">
        <f>'ФЭМ 1.5'!D155</f>
        <v>108.64799987593547</v>
      </c>
    </row>
    <row r="157" spans="2:8" hidden="1" outlineLevel="1" x14ac:dyDescent="0.3">
      <c r="B157" s="658"/>
      <c r="C157" s="209" t="s">
        <v>271</v>
      </c>
      <c r="D157" s="165">
        <f>'ФЭМ 0.9'!D156</f>
        <v>146756.8122310043</v>
      </c>
      <c r="E157" s="165">
        <f t="shared" si="5"/>
        <v>-11265.624988734489</v>
      </c>
      <c r="F157" s="165">
        <f>'ФЭМ 1.2'!D156</f>
        <v>135491.18724226981</v>
      </c>
      <c r="G157" s="165">
        <f t="shared" si="6"/>
        <v>-11482.772550708381</v>
      </c>
      <c r="H157" s="165">
        <f>'ФЭМ 1.5'!D156</f>
        <v>124008.41469156143</v>
      </c>
    </row>
    <row r="158" spans="2:8" hidden="1" outlineLevel="1" x14ac:dyDescent="0.3">
      <c r="B158" s="656" t="s">
        <v>286</v>
      </c>
      <c r="C158" s="193" t="s">
        <v>287</v>
      </c>
      <c r="D158" s="172">
        <f>'ФЭМ 0.9'!D157</f>
        <v>0.24242212124309623</v>
      </c>
      <c r="E158" s="172">
        <f t="shared" si="5"/>
        <v>-2.5736218431454128E-3</v>
      </c>
      <c r="F158" s="172">
        <f>'ФЭМ 1.2'!D157</f>
        <v>0.23984849939995082</v>
      </c>
      <c r="G158" s="172">
        <f t="shared" si="6"/>
        <v>-2.5517758019638626E-3</v>
      </c>
      <c r="H158" s="172">
        <f>'ФЭМ 1.5'!D157</f>
        <v>0.23729672359798695</v>
      </c>
    </row>
    <row r="159" spans="2:8" hidden="1" outlineLevel="1" x14ac:dyDescent="0.3">
      <c r="B159" s="658"/>
      <c r="C159" s="209" t="s">
        <v>271</v>
      </c>
      <c r="D159" s="165">
        <f>'ФЭМ 0.9'!D158</f>
        <v>66143.063928674528</v>
      </c>
      <c r="E159" s="165">
        <f t="shared" si="5"/>
        <v>-2362.2405463057585</v>
      </c>
      <c r="F159" s="165">
        <f>'ФЭМ 1.2'!D158</f>
        <v>63780.82338236877</v>
      </c>
      <c r="G159" s="165">
        <f t="shared" si="6"/>
        <v>-2460.2421244284124</v>
      </c>
      <c r="H159" s="165">
        <f>'ФЭМ 1.5'!D158</f>
        <v>61320.581257940357</v>
      </c>
    </row>
    <row r="160" spans="2:8" hidden="1" outlineLevel="1" x14ac:dyDescent="0.3">
      <c r="B160" s="656" t="s">
        <v>288</v>
      </c>
      <c r="C160" s="193" t="s">
        <v>53</v>
      </c>
      <c r="D160" s="172">
        <f>'ФЭМ 0.9'!D159</f>
        <v>0.21933430017232519</v>
      </c>
      <c r="E160" s="172">
        <f t="shared" si="5"/>
        <v>-2.3285150009411115E-3</v>
      </c>
      <c r="F160" s="172">
        <f>'ФЭМ 1.2'!D159</f>
        <v>0.21700578517138408</v>
      </c>
      <c r="G160" s="172">
        <f t="shared" si="6"/>
        <v>-2.3087495351101495E-3</v>
      </c>
      <c r="H160" s="172">
        <f>'ФЭМ 1.5'!D159</f>
        <v>0.21469703563627393</v>
      </c>
    </row>
    <row r="161" spans="2:8" hidden="1" outlineLevel="1" x14ac:dyDescent="0.3">
      <c r="B161" s="658"/>
      <c r="C161" s="209" t="s">
        <v>271</v>
      </c>
      <c r="D161" s="165">
        <f>'ФЭМ 0.9'!D160</f>
        <v>1345.6969502704335</v>
      </c>
      <c r="E161" s="165">
        <f t="shared" si="5"/>
        <v>-27.597077164657549</v>
      </c>
      <c r="F161" s="165">
        <f>'ФЭМ 1.2'!D160</f>
        <v>1318.0998731057759</v>
      </c>
      <c r="G161" s="165">
        <f t="shared" si="6"/>
        <v>-48.82118388730396</v>
      </c>
      <c r="H161" s="165">
        <f>'ФЭМ 1.5'!D160</f>
        <v>1269.278689218472</v>
      </c>
    </row>
    <row r="162" spans="2:8" hidden="1" outlineLevel="1" x14ac:dyDescent="0.3">
      <c r="B162" s="655" t="s">
        <v>289</v>
      </c>
      <c r="C162" s="193" t="s">
        <v>53</v>
      </c>
      <c r="D162" s="172">
        <f>'ФЭМ 0.9'!D161</f>
        <v>1.5007083696001195E-2</v>
      </c>
      <c r="E162" s="172">
        <f t="shared" si="5"/>
        <v>-1.593194474328128E-4</v>
      </c>
      <c r="F162" s="172">
        <f>'ФЭМ 1.2'!D161</f>
        <v>1.4847764248568382E-2</v>
      </c>
      <c r="G162" s="172">
        <f t="shared" si="6"/>
        <v>-1.5796707345490553E-4</v>
      </c>
      <c r="H162" s="172">
        <f>'ФЭМ 1.5'!D161</f>
        <v>1.4689797175113477E-2</v>
      </c>
    </row>
    <row r="163" spans="2:8" hidden="1" outlineLevel="1" x14ac:dyDescent="0.3">
      <c r="B163" s="655"/>
      <c r="C163" s="209" t="s">
        <v>271</v>
      </c>
      <c r="D163" s="165">
        <f>'ФЭМ 0.9'!D162</f>
        <v>12284.657275821264</v>
      </c>
      <c r="E163" s="165">
        <f t="shared" si="5"/>
        <v>-191.51748314145516</v>
      </c>
      <c r="F163" s="165">
        <f>'ФЭМ 1.2'!D162</f>
        <v>12093.139792679809</v>
      </c>
      <c r="G163" s="165">
        <f t="shared" si="6"/>
        <v>-443.46532605409266</v>
      </c>
      <c r="H163" s="165">
        <f>'ФЭМ 1.5'!D162</f>
        <v>11649.674466625716</v>
      </c>
    </row>
    <row r="164" spans="2:8" collapsed="1" x14ac:dyDescent="0.3">
      <c r="B164" s="659" t="s">
        <v>290</v>
      </c>
      <c r="C164" s="563" t="s">
        <v>271</v>
      </c>
      <c r="D164" s="165">
        <f>'ФЭМ 0.9'!D163</f>
        <v>58721.963262708268</v>
      </c>
      <c r="E164" s="165">
        <f t="shared" si="5"/>
        <v>-1200.9653797621795</v>
      </c>
      <c r="F164" s="165">
        <f>'ФЭМ 1.2'!D163</f>
        <v>57520.997882946089</v>
      </c>
      <c r="G164" s="165">
        <f t="shared" si="6"/>
        <v>-2133.4154698192287</v>
      </c>
      <c r="H164" s="165">
        <f>'ФЭМ 1.5'!D163</f>
        <v>55387.58241312686</v>
      </c>
    </row>
    <row r="165" spans="2:8" x14ac:dyDescent="0.3">
      <c r="B165" s="659"/>
      <c r="C165" s="564" t="s">
        <v>3</v>
      </c>
      <c r="D165" s="228">
        <f>'ФЭМ 0.9'!D164</f>
        <v>3.1476980741635621</v>
      </c>
      <c r="E165" s="228">
        <f t="shared" si="5"/>
        <v>0.16237163594657966</v>
      </c>
      <c r="F165" s="228">
        <f>'ФЭМ 1.2'!D164</f>
        <v>3.3100697101101417</v>
      </c>
      <c r="G165" s="228">
        <f t="shared" si="6"/>
        <v>0.1392510798970692</v>
      </c>
      <c r="H165" s="228">
        <f>'ФЭМ 1.5'!D164</f>
        <v>3.4493207900072109</v>
      </c>
    </row>
    <row r="166" spans="2:8" hidden="1" outlineLevel="1" x14ac:dyDescent="0.3">
      <c r="B166" s="655" t="s">
        <v>291</v>
      </c>
      <c r="C166" s="193" t="s">
        <v>275</v>
      </c>
      <c r="D166" s="172">
        <f>'ФЭМ 0.9'!D165</f>
        <v>66.990898967519172</v>
      </c>
      <c r="E166" s="172">
        <f t="shared" si="5"/>
        <v>-0.7111943414679871</v>
      </c>
      <c r="F166" s="172">
        <f>'ФЭМ 1.2'!D165</f>
        <v>66.279704626051185</v>
      </c>
      <c r="G166" s="172">
        <f t="shared" si="6"/>
        <v>-0.70515740915286074</v>
      </c>
      <c r="H166" s="172">
        <f>'ФЭМ 1.5'!D165</f>
        <v>65.574547216898324</v>
      </c>
    </row>
    <row r="167" spans="2:8" hidden="1" outlineLevel="1" x14ac:dyDescent="0.3">
      <c r="B167" s="655"/>
      <c r="C167" s="209" t="s">
        <v>271</v>
      </c>
      <c r="D167" s="165">
        <f>'ФЭМ 0.9'!D166</f>
        <v>18277.966096190918</v>
      </c>
      <c r="E167" s="165">
        <f t="shared" si="5"/>
        <v>-652.78126007262108</v>
      </c>
      <c r="F167" s="165">
        <f>'ФЭМ 1.2'!D166</f>
        <v>17625.184836118297</v>
      </c>
      <c r="G167" s="165">
        <f t="shared" si="6"/>
        <v>-679.86300403644418</v>
      </c>
      <c r="H167" s="165">
        <f>'ФЭМ 1.5'!D166</f>
        <v>16945.321832081852</v>
      </c>
    </row>
    <row r="168" spans="2:8" hidden="1" outlineLevel="1" x14ac:dyDescent="0.3">
      <c r="B168" s="655" t="s">
        <v>397</v>
      </c>
      <c r="C168" s="193" t="s">
        <v>275</v>
      </c>
      <c r="D168" s="172">
        <f>'ФЭМ 0.9'!D167</f>
        <v>107.4230299305998</v>
      </c>
      <c r="E168" s="172">
        <f t="shared" si="5"/>
        <v>-1.1404332858263473</v>
      </c>
      <c r="F168" s="172">
        <f>'ФЭМ 1.2'!D167</f>
        <v>106.28259664477345</v>
      </c>
      <c r="G168" s="172">
        <f t="shared" si="6"/>
        <v>-1.1307527833883597</v>
      </c>
      <c r="H168" s="172">
        <f>'ФЭМ 1.5'!D167</f>
        <v>105.15184386138509</v>
      </c>
    </row>
    <row r="169" spans="2:8" hidden="1" outlineLevel="1" x14ac:dyDescent="0.3">
      <c r="B169" s="655"/>
      <c r="C169" s="209" t="s">
        <v>271</v>
      </c>
      <c r="D169" s="165">
        <f>'ФЭМ 0.9'!D168</f>
        <v>12939.864690388895</v>
      </c>
      <c r="E169" s="165">
        <f t="shared" si="5"/>
        <v>-183.43680140742254</v>
      </c>
      <c r="F169" s="165">
        <f>'ФЭМ 1.2'!D168</f>
        <v>12756.427888981472</v>
      </c>
      <c r="G169" s="165">
        <f t="shared" si="6"/>
        <v>-465.79160315088302</v>
      </c>
      <c r="H169" s="165">
        <f>'ФЭМ 1.5'!D168</f>
        <v>12290.636285830589</v>
      </c>
    </row>
    <row r="170" spans="2:8" hidden="1" outlineLevel="1" x14ac:dyDescent="0.3">
      <c r="B170" s="655" t="s">
        <v>292</v>
      </c>
      <c r="C170" s="193" t="s">
        <v>275</v>
      </c>
      <c r="D170" s="172">
        <f>'ФЭМ 0.9'!D169</f>
        <v>48.189159709254206</v>
      </c>
      <c r="E170" s="172">
        <f t="shared" si="5"/>
        <v>-0.51158975672107943</v>
      </c>
      <c r="F170" s="172">
        <f>'ФЭМ 1.2'!D169</f>
        <v>47.677569952533126</v>
      </c>
      <c r="G170" s="172">
        <f t="shared" si="6"/>
        <v>-0.50724715645786489</v>
      </c>
      <c r="H170" s="172">
        <f>'ФЭМ 1.5'!D169</f>
        <v>47.170322796075261</v>
      </c>
    </row>
    <row r="171" spans="2:8" hidden="1" outlineLevel="1" x14ac:dyDescent="0.3">
      <c r="B171" s="655"/>
      <c r="C171" s="209" t="s">
        <v>271</v>
      </c>
      <c r="D171" s="165">
        <f>'ФЭМ 0.9'!D170</f>
        <v>26918.474051100424</v>
      </c>
      <c r="E171" s="165">
        <f t="shared" si="5"/>
        <v>-355.25902411495917</v>
      </c>
      <c r="F171" s="165">
        <f>'ФЭМ 1.2'!D170</f>
        <v>26563.215026985465</v>
      </c>
      <c r="G171" s="165">
        <f t="shared" si="6"/>
        <v>-966.60598248166571</v>
      </c>
      <c r="H171" s="165">
        <f>'ФЭМ 1.5'!D170</f>
        <v>25596.609044503799</v>
      </c>
    </row>
    <row r="172" spans="2:8" hidden="1" outlineLevel="1" x14ac:dyDescent="0.3">
      <c r="B172" s="655" t="s">
        <v>293</v>
      </c>
      <c r="C172" s="193" t="s">
        <v>113</v>
      </c>
      <c r="D172" s="172">
        <f>'ФЭМ 0.9'!D171</f>
        <v>11.861920242271937</v>
      </c>
      <c r="E172" s="172">
        <f t="shared" si="5"/>
        <v>-0.12592950214533971</v>
      </c>
      <c r="F172" s="172">
        <f>'ФЭМ 1.2'!D171</f>
        <v>11.735990740126597</v>
      </c>
      <c r="G172" s="172">
        <f t="shared" si="6"/>
        <v>-0.12486055680001762</v>
      </c>
      <c r="H172" s="172">
        <f>'ФЭМ 1.5'!D171</f>
        <v>11.61113018332658</v>
      </c>
    </row>
    <row r="173" spans="2:8" hidden="1" outlineLevel="1" x14ac:dyDescent="0.3">
      <c r="B173" s="655"/>
      <c r="C173" s="209" t="s">
        <v>271</v>
      </c>
      <c r="D173" s="165">
        <f>'ФЭМ 0.9'!D172</f>
        <v>72.777262297028386</v>
      </c>
      <c r="E173" s="165">
        <f t="shared" si="5"/>
        <v>-1.4924903582786584</v>
      </c>
      <c r="F173" s="165">
        <f>'ФЭМ 1.2'!D172</f>
        <v>71.284771938749728</v>
      </c>
      <c r="G173" s="165">
        <f t="shared" si="6"/>
        <v>-2.6403211396917641</v>
      </c>
      <c r="H173" s="165">
        <f>'ФЭМ 1.5'!D172</f>
        <v>68.644450799057964</v>
      </c>
    </row>
    <row r="174" spans="2:8" hidden="1" outlineLevel="1" x14ac:dyDescent="0.3">
      <c r="B174" s="655" t="s">
        <v>294</v>
      </c>
      <c r="C174" s="193" t="s">
        <v>113</v>
      </c>
      <c r="D174" s="172">
        <f>'ФЭМ 0.9'!D173</f>
        <v>0.62654173921119816</v>
      </c>
      <c r="E174" s="172">
        <f t="shared" si="5"/>
        <v>-6.6515444110785138E-3</v>
      </c>
      <c r="F174" s="172">
        <f>'ФЭМ 1.2'!D173</f>
        <v>0.61989019480011964</v>
      </c>
      <c r="G174" s="172">
        <f t="shared" si="6"/>
        <v>-6.595083158422721E-3</v>
      </c>
      <c r="H174" s="172">
        <f>'ФЭМ 1.5'!D173</f>
        <v>0.61329511164169692</v>
      </c>
    </row>
    <row r="175" spans="2:8" hidden="1" outlineLevel="1" x14ac:dyDescent="0.3">
      <c r="B175" s="655"/>
      <c r="C175" s="209" t="s">
        <v>271</v>
      </c>
      <c r="D175" s="165">
        <f>'ФЭМ 0.9'!D174</f>
        <v>512.88116273100195</v>
      </c>
      <c r="E175" s="165">
        <f t="shared" si="5"/>
        <v>-7.9958038088888657</v>
      </c>
      <c r="F175" s="165">
        <f>'ФЭМ 1.2'!D174</f>
        <v>504.88535892211308</v>
      </c>
      <c r="G175" s="165">
        <f t="shared" si="6"/>
        <v>-18.51455901054436</v>
      </c>
      <c r="H175" s="165">
        <f>'ФЭМ 1.5'!D174</f>
        <v>486.37079991156872</v>
      </c>
    </row>
    <row r="176" spans="2:8" collapsed="1" x14ac:dyDescent="0.3">
      <c r="B176" s="656" t="s">
        <v>295</v>
      </c>
      <c r="C176" s="564" t="s">
        <v>3</v>
      </c>
      <c r="D176" s="172">
        <f>'ФЭМ 0.9'!D175</f>
        <v>22.51062554400179</v>
      </c>
      <c r="E176" s="172">
        <f t="shared" si="5"/>
        <v>-0.23897917114921796</v>
      </c>
      <c r="F176" s="172">
        <f>'ФЭМ 1.2'!D175</f>
        <v>22.271646372852572</v>
      </c>
      <c r="G176" s="172">
        <f t="shared" si="6"/>
        <v>-0.23695061018235819</v>
      </c>
      <c r="H176" s="172">
        <f>'ФЭМ 1.5'!D175</f>
        <v>22.034695762670214</v>
      </c>
    </row>
    <row r="177" spans="2:8" x14ac:dyDescent="0.3">
      <c r="B177" s="657"/>
      <c r="C177" s="563" t="s">
        <v>271</v>
      </c>
      <c r="D177" s="165">
        <f>'ФЭМ 0.9'!D176</f>
        <v>416272.33649412647</v>
      </c>
      <c r="E177" s="165">
        <f t="shared" si="5"/>
        <v>-31954.687246445857</v>
      </c>
      <c r="F177" s="165">
        <f>'ФЭМ 1.2'!D176</f>
        <v>384317.64924768062</v>
      </c>
      <c r="G177" s="165">
        <f t="shared" si="6"/>
        <v>-32570.621332317067</v>
      </c>
      <c r="H177" s="165">
        <f>'ФЭМ 1.5'!D176</f>
        <v>351747.02791536355</v>
      </c>
    </row>
    <row r="178" spans="2:8" x14ac:dyDescent="0.3">
      <c r="B178" s="210"/>
      <c r="C178" s="209"/>
      <c r="D178" s="183">
        <f>'ФЭМ 0.9'!D177</f>
        <v>0</v>
      </c>
      <c r="E178" s="183">
        <f t="shared" si="5"/>
        <v>0</v>
      </c>
      <c r="F178" s="183">
        <f>'ФЭМ 1.2'!D177</f>
        <v>0</v>
      </c>
      <c r="G178" s="183">
        <f t="shared" si="6"/>
        <v>0</v>
      </c>
      <c r="H178" s="183">
        <f>'ФЭМ 1.5'!D177</f>
        <v>0</v>
      </c>
    </row>
    <row r="179" spans="2:8" x14ac:dyDescent="0.3">
      <c r="B179" s="664" t="s">
        <v>296</v>
      </c>
      <c r="C179" s="563" t="s">
        <v>271</v>
      </c>
      <c r="D179" s="165">
        <f>'ФЭМ 0.9'!D178</f>
        <v>730444.12077866495</v>
      </c>
      <c r="E179" s="165">
        <f t="shared" si="5"/>
        <v>-16764.526899182354</v>
      </c>
      <c r="F179" s="165">
        <f>'ФЭМ 1.2'!D178</f>
        <v>713679.59387948259</v>
      </c>
      <c r="G179" s="165">
        <f t="shared" si="6"/>
        <v>-26389.599995900295</v>
      </c>
      <c r="H179" s="165">
        <f>'ФЭМ 1.5'!D178</f>
        <v>687289.9938835823</v>
      </c>
    </row>
    <row r="180" spans="2:8" x14ac:dyDescent="0.3">
      <c r="B180" s="664"/>
      <c r="C180" s="564" t="s">
        <v>3</v>
      </c>
      <c r="D180" s="234">
        <f>'ФЭМ 0.9'!D179</f>
        <v>39.15430316886615</v>
      </c>
      <c r="E180" s="234">
        <f t="shared" si="5"/>
        <v>1.914685433026122</v>
      </c>
      <c r="F180" s="234">
        <f>'ФЭМ 1.2'!D179</f>
        <v>41.068988601892272</v>
      </c>
      <c r="G180" s="234">
        <f t="shared" si="6"/>
        <v>1.7327290644256053</v>
      </c>
      <c r="H180" s="234">
        <f>'ФЭМ 1.5'!D179</f>
        <v>42.801717666317877</v>
      </c>
    </row>
    <row r="181" spans="2:8" x14ac:dyDescent="0.3">
      <c r="B181" s="168" t="s">
        <v>272</v>
      </c>
      <c r="C181" s="235"/>
      <c r="D181" s="167">
        <f>'ФЭМ 0.9'!D180</f>
        <v>0</v>
      </c>
      <c r="E181" s="167">
        <f t="shared" si="5"/>
        <v>0</v>
      </c>
      <c r="F181" s="167">
        <f>'ФЭМ 1.2'!D180</f>
        <v>0</v>
      </c>
      <c r="G181" s="167">
        <f t="shared" si="6"/>
        <v>0</v>
      </c>
      <c r="H181" s="167">
        <f>'ФЭМ 1.5'!D180</f>
        <v>0</v>
      </c>
    </row>
    <row r="182" spans="2:8" x14ac:dyDescent="0.3">
      <c r="B182" s="665" t="s">
        <v>297</v>
      </c>
      <c r="C182" s="563" t="s">
        <v>271</v>
      </c>
      <c r="D182" s="165">
        <f>'ФЭМ 0.9'!D181</f>
        <v>664172.33440103999</v>
      </c>
      <c r="E182" s="165">
        <f t="shared" si="5"/>
        <v>-14654.420914418763</v>
      </c>
      <c r="F182" s="165">
        <f>'ФЭМ 1.2'!D181</f>
        <v>649517.91348662123</v>
      </c>
      <c r="G182" s="165">
        <f t="shared" si="6"/>
        <v>-23665.597884329851</v>
      </c>
      <c r="H182" s="165">
        <f>'ФЭМ 1.5'!D181</f>
        <v>625852.31560229138</v>
      </c>
    </row>
    <row r="183" spans="2:8" x14ac:dyDescent="0.3">
      <c r="B183" s="665"/>
      <c r="C183" s="564" t="s">
        <v>3</v>
      </c>
      <c r="D183" s="236">
        <f>'ФЭМ 0.9'!D182</f>
        <v>35.60190875352643</v>
      </c>
      <c r="E183" s="236">
        <f t="shared" si="5"/>
        <v>1.7748693055243265</v>
      </c>
      <c r="F183" s="236">
        <f>'ФЭМ 1.2'!D182</f>
        <v>37.376778059050757</v>
      </c>
      <c r="G183" s="236">
        <f t="shared" si="6"/>
        <v>1.5988426419804256</v>
      </c>
      <c r="H183" s="236">
        <f>'ФЭМ 1.5'!D182</f>
        <v>38.975620701031183</v>
      </c>
    </row>
    <row r="184" spans="2:8" hidden="1" outlineLevel="1" x14ac:dyDescent="0.3">
      <c r="B184" s="169" t="s">
        <v>219</v>
      </c>
      <c r="C184" s="237" t="s">
        <v>271</v>
      </c>
      <c r="D184" s="183">
        <f>'ФЭМ 0.9'!D183</f>
        <v>267074.98078754824</v>
      </c>
      <c r="E184" s="183">
        <f t="shared" si="5"/>
        <v>-9029.931858010008</v>
      </c>
      <c r="F184" s="183">
        <f>'ФЭМ 1.2'!D183</f>
        <v>258045.04892953823</v>
      </c>
      <c r="G184" s="183">
        <f t="shared" si="6"/>
        <v>-9646.7842627878999</v>
      </c>
      <c r="H184" s="183">
        <f>'ФЭМ 1.5'!D183</f>
        <v>248398.26466675033</v>
      </c>
    </row>
    <row r="185" spans="2:8" hidden="1" outlineLevel="1" x14ac:dyDescent="0.3">
      <c r="B185" s="169" t="s">
        <v>220</v>
      </c>
      <c r="C185" s="237" t="s">
        <v>271</v>
      </c>
      <c r="D185" s="183">
        <f>'ФЭМ 0.9'!D184</f>
        <v>201666.88436265916</v>
      </c>
      <c r="E185" s="183">
        <f t="shared" si="5"/>
        <v>-2518.435279151221</v>
      </c>
      <c r="F185" s="183">
        <f>'ФЭМ 1.2'!D184</f>
        <v>199148.44908350793</v>
      </c>
      <c r="G185" s="183">
        <f t="shared" si="6"/>
        <v>-7146.6287000413286</v>
      </c>
      <c r="H185" s="183">
        <f>'ФЭМ 1.5'!D184</f>
        <v>192001.82038346661</v>
      </c>
    </row>
    <row r="186" spans="2:8" hidden="1" outlineLevel="1" x14ac:dyDescent="0.3">
      <c r="B186" s="171" t="s">
        <v>221</v>
      </c>
      <c r="C186" s="237" t="s">
        <v>271</v>
      </c>
      <c r="D186" s="183">
        <f>'ФЭМ 0.9'!D185</f>
        <v>44770.137376046798</v>
      </c>
      <c r="E186" s="183">
        <f t="shared" si="5"/>
        <v>-574.74505507388676</v>
      </c>
      <c r="F186" s="183">
        <f>'ФЭМ 1.2'!D185</f>
        <v>44195.392320972911</v>
      </c>
      <c r="G186" s="183">
        <f t="shared" si="6"/>
        <v>-1564.5112637949496</v>
      </c>
      <c r="H186" s="183">
        <f>'ФЭМ 1.5'!D185</f>
        <v>42630.881057177961</v>
      </c>
    </row>
    <row r="187" spans="2:8" hidden="1" outlineLevel="1" x14ac:dyDescent="0.3">
      <c r="B187" s="169" t="s">
        <v>222</v>
      </c>
      <c r="C187" s="237" t="s">
        <v>271</v>
      </c>
      <c r="D187" s="183">
        <f>'ФЭМ 0.9'!D186</f>
        <v>58861.70512269115</v>
      </c>
      <c r="E187" s="183">
        <f t="shared" si="5"/>
        <v>-1112.7895264873732</v>
      </c>
      <c r="F187" s="183">
        <f>'ФЭМ 1.2'!D186</f>
        <v>57748.915596203777</v>
      </c>
      <c r="G187" s="183">
        <f t="shared" si="6"/>
        <v>-2034.8145017053466</v>
      </c>
      <c r="H187" s="183">
        <f>'ФЭМ 1.5'!D186</f>
        <v>55714.10109449843</v>
      </c>
    </row>
    <row r="188" spans="2:8" hidden="1" outlineLevel="1" x14ac:dyDescent="0.3">
      <c r="B188" s="169" t="s">
        <v>224</v>
      </c>
      <c r="C188" s="237" t="s">
        <v>271</v>
      </c>
      <c r="D188" s="183">
        <f>'ФЭМ 0.9'!D187</f>
        <v>91798.626752094628</v>
      </c>
      <c r="E188" s="183">
        <f t="shared" si="5"/>
        <v>-1418.5191956963099</v>
      </c>
      <c r="F188" s="183">
        <f>'ФЭМ 1.2'!D187</f>
        <v>90380.107556398318</v>
      </c>
      <c r="G188" s="183">
        <f t="shared" si="6"/>
        <v>-3272.8591560003115</v>
      </c>
      <c r="H188" s="183">
        <f>'ФЭМ 1.5'!D187</f>
        <v>87107.248400398006</v>
      </c>
    </row>
    <row r="189" spans="2:8" hidden="1" outlineLevel="1" x14ac:dyDescent="0.3">
      <c r="B189" s="239" t="s">
        <v>298</v>
      </c>
      <c r="C189" s="235"/>
      <c r="D189" s="167"/>
      <c r="E189" s="167"/>
      <c r="F189" s="167"/>
      <c r="G189" s="167"/>
      <c r="H189" s="167"/>
    </row>
    <row r="190" spans="2:8" hidden="1" outlineLevel="1" x14ac:dyDescent="0.3">
      <c r="B190" s="169" t="s">
        <v>219</v>
      </c>
      <c r="C190" s="179" t="s">
        <v>231</v>
      </c>
      <c r="D190" s="183">
        <f>'ФЭМ 0.9'!D189</f>
        <v>335866</v>
      </c>
      <c r="E190" s="183">
        <f t="shared" si="5"/>
        <v>-9097.0000000000582</v>
      </c>
      <c r="F190" s="183">
        <f>'ФЭМ 1.2'!D189</f>
        <v>326768.99999999994</v>
      </c>
      <c r="G190" s="183">
        <f t="shared" si="6"/>
        <v>-10897.233144641737</v>
      </c>
      <c r="H190" s="183">
        <f>'ФЭМ 1.5'!D189</f>
        <v>315871.7668553582</v>
      </c>
    </row>
    <row r="191" spans="2:8" hidden="1" outlineLevel="1" x14ac:dyDescent="0.3">
      <c r="B191" s="169" t="s">
        <v>220</v>
      </c>
      <c r="C191" s="179" t="s">
        <v>231</v>
      </c>
      <c r="D191" s="183">
        <f>'ФЭМ 0.9'!D190</f>
        <v>662667</v>
      </c>
      <c r="E191" s="183">
        <f t="shared" si="5"/>
        <v>-2894</v>
      </c>
      <c r="F191" s="183">
        <f>'ФЭМ 1.2'!D190</f>
        <v>659773</v>
      </c>
      <c r="G191" s="183">
        <f t="shared" si="6"/>
        <v>-20367.795291094459</v>
      </c>
      <c r="H191" s="183">
        <f>'ФЭМ 1.5'!D190</f>
        <v>639405.20470890554</v>
      </c>
    </row>
    <row r="192" spans="2:8" hidden="1" outlineLevel="1" x14ac:dyDescent="0.3">
      <c r="B192" s="171" t="s">
        <v>221</v>
      </c>
      <c r="C192" s="179" t="s">
        <v>231</v>
      </c>
      <c r="D192" s="183">
        <f>'ФЭМ 0.9'!D191</f>
        <v>204689</v>
      </c>
      <c r="E192" s="183">
        <f t="shared" si="5"/>
        <v>-1096</v>
      </c>
      <c r="F192" s="183">
        <f>'ФЭМ 1.2'!D191</f>
        <v>203593</v>
      </c>
      <c r="G192" s="183">
        <f t="shared" si="6"/>
        <v>-6314.0509950700507</v>
      </c>
      <c r="H192" s="183">
        <f>'ФЭМ 1.5'!D191</f>
        <v>197278.94900492995</v>
      </c>
    </row>
    <row r="193" spans="2:8" hidden="1" outlineLevel="1" x14ac:dyDescent="0.3">
      <c r="B193" s="169" t="s">
        <v>222</v>
      </c>
      <c r="C193" s="179" t="s">
        <v>71</v>
      </c>
      <c r="D193" s="183">
        <f>'ФЭМ 0.9'!D192</f>
        <v>13880.999999999996</v>
      </c>
      <c r="E193" s="183">
        <f t="shared" si="5"/>
        <v>-163</v>
      </c>
      <c r="F193" s="183">
        <f>'ФЭМ 1.2'!D192</f>
        <v>13717.999999999996</v>
      </c>
      <c r="G193" s="183">
        <f t="shared" si="6"/>
        <v>-433.60261874529533</v>
      </c>
      <c r="H193" s="183">
        <f>'ФЭМ 1.5'!D192</f>
        <v>13284.397381254701</v>
      </c>
    </row>
    <row r="194" spans="2:8" hidden="1" outlineLevel="1" x14ac:dyDescent="0.3">
      <c r="B194" s="169" t="s">
        <v>224</v>
      </c>
      <c r="C194" s="240" t="s">
        <v>71</v>
      </c>
      <c r="D194" s="183">
        <f>'ФЭМ 0.9'!D193</f>
        <v>1574695.9999999998</v>
      </c>
      <c r="E194" s="183">
        <f t="shared" si="5"/>
        <v>-10678</v>
      </c>
      <c r="F194" s="183">
        <f>'ФЭМ 1.2'!D193</f>
        <v>1564017.9999999998</v>
      </c>
      <c r="G194" s="183">
        <f t="shared" si="6"/>
        <v>-48782.747337708715</v>
      </c>
      <c r="H194" s="183">
        <f>'ФЭМ 1.5'!D193</f>
        <v>1515235.2526622911</v>
      </c>
    </row>
    <row r="195" spans="2:8" hidden="1" outlineLevel="1" x14ac:dyDescent="0.3">
      <c r="B195" s="239" t="s">
        <v>299</v>
      </c>
      <c r="C195" s="237"/>
      <c r="D195" s="241"/>
      <c r="E195" s="241"/>
      <c r="F195" s="241"/>
      <c r="G195" s="241"/>
      <c r="H195" s="241"/>
    </row>
    <row r="196" spans="2:8" hidden="1" outlineLevel="1" x14ac:dyDescent="0.3">
      <c r="B196" s="169" t="s">
        <v>219</v>
      </c>
      <c r="C196" s="237" t="s">
        <v>2</v>
      </c>
      <c r="D196" s="242">
        <f>'ФЭМ 0.9'!D195</f>
        <v>8.5500000000000007E-2</v>
      </c>
      <c r="E196" s="242">
        <f t="shared" si="5"/>
        <v>0</v>
      </c>
      <c r="F196" s="242">
        <f>'ФЭМ 1.2'!D195</f>
        <v>8.5500000000000007E-2</v>
      </c>
      <c r="G196" s="242">
        <f t="shared" si="6"/>
        <v>0</v>
      </c>
      <c r="H196" s="242">
        <f>'ФЭМ 1.5'!D195</f>
        <v>8.5500000000000007E-2</v>
      </c>
    </row>
    <row r="197" spans="2:8" hidden="1" outlineLevel="1" x14ac:dyDescent="0.3">
      <c r="B197" s="169" t="s">
        <v>220</v>
      </c>
      <c r="C197" s="237" t="s">
        <v>2</v>
      </c>
      <c r="D197" s="242">
        <f>'ФЭМ 0.9'!D196</f>
        <v>0.105</v>
      </c>
      <c r="E197" s="242">
        <f t="shared" si="5"/>
        <v>0</v>
      </c>
      <c r="F197" s="242">
        <f>'ФЭМ 1.2'!D196</f>
        <v>0.105</v>
      </c>
      <c r="G197" s="242">
        <f t="shared" si="6"/>
        <v>0</v>
      </c>
      <c r="H197" s="242">
        <f>'ФЭМ 1.5'!D196</f>
        <v>0.105</v>
      </c>
    </row>
    <row r="198" spans="2:8" hidden="1" outlineLevel="1" x14ac:dyDescent="0.3">
      <c r="B198" s="171" t="s">
        <v>221</v>
      </c>
      <c r="C198" s="237" t="s">
        <v>2</v>
      </c>
      <c r="D198" s="242">
        <f>'ФЭМ 0.9'!D197</f>
        <v>0.104</v>
      </c>
      <c r="E198" s="242">
        <f t="shared" si="5"/>
        <v>0</v>
      </c>
      <c r="F198" s="242">
        <f>'ФЭМ 1.2'!D197</f>
        <v>0.104</v>
      </c>
      <c r="G198" s="242">
        <f t="shared" si="6"/>
        <v>0</v>
      </c>
      <c r="H198" s="242">
        <f>'ФЭМ 1.5'!D197</f>
        <v>0.104</v>
      </c>
    </row>
    <row r="199" spans="2:8" hidden="1" outlineLevel="1" x14ac:dyDescent="0.3">
      <c r="B199" s="169" t="s">
        <v>222</v>
      </c>
      <c r="C199" s="237" t="s">
        <v>2</v>
      </c>
      <c r="D199" s="242">
        <f>'ФЭМ 0.9'!D198</f>
        <v>7.4999999999999997E-2</v>
      </c>
      <c r="E199" s="242">
        <f t="shared" si="5"/>
        <v>0</v>
      </c>
      <c r="F199" s="242">
        <f>'ФЭМ 1.2'!D198</f>
        <v>7.4999999999999997E-2</v>
      </c>
      <c r="G199" s="242">
        <f t="shared" si="6"/>
        <v>0</v>
      </c>
      <c r="H199" s="242">
        <f>'ФЭМ 1.5'!D198</f>
        <v>7.4999999999999997E-2</v>
      </c>
    </row>
    <row r="200" spans="2:8" hidden="1" outlineLevel="1" x14ac:dyDescent="0.3">
      <c r="B200" s="169" t="s">
        <v>224</v>
      </c>
      <c r="C200" s="237" t="s">
        <v>2</v>
      </c>
      <c r="D200" s="242">
        <f>'ФЭМ 0.9'!D199</f>
        <v>7.4999999999999997E-2</v>
      </c>
      <c r="E200" s="242">
        <f t="shared" si="5"/>
        <v>0</v>
      </c>
      <c r="F200" s="242">
        <f>'ФЭМ 1.2'!D199</f>
        <v>7.4999999999999997E-2</v>
      </c>
      <c r="G200" s="242">
        <f t="shared" si="6"/>
        <v>0</v>
      </c>
      <c r="H200" s="242">
        <f>'ФЭМ 1.5'!D199</f>
        <v>7.4999999999999997E-2</v>
      </c>
    </row>
    <row r="201" spans="2:8" collapsed="1" x14ac:dyDescent="0.3">
      <c r="B201" s="666" t="s">
        <v>300</v>
      </c>
      <c r="C201" s="205" t="s">
        <v>271</v>
      </c>
      <c r="D201" s="165">
        <f>'ФЭМ 0.9'!D200</f>
        <v>3882.7970231056802</v>
      </c>
      <c r="E201" s="165">
        <f t="shared" ref="E201:E250" si="7">F201-D201</f>
        <v>-315.61916851304431</v>
      </c>
      <c r="F201" s="165">
        <f>'ФЭМ 1.2'!D200</f>
        <v>3567.1778545926359</v>
      </c>
      <c r="G201" s="165">
        <f t="shared" ref="G201:G250" si="8">H201-F201</f>
        <v>-309.43055736572978</v>
      </c>
      <c r="H201" s="165">
        <f>'ФЭМ 1.5'!D200</f>
        <v>3257.7472972269061</v>
      </c>
    </row>
    <row r="202" spans="2:8" x14ac:dyDescent="0.3">
      <c r="B202" s="667"/>
      <c r="C202" s="564" t="s">
        <v>3</v>
      </c>
      <c r="D202" s="243">
        <f>'ФЭМ 0.9'!D201</f>
        <v>0.17934447041237175</v>
      </c>
      <c r="E202" s="243">
        <f t="shared" si="7"/>
        <v>0</v>
      </c>
      <c r="F202" s="243">
        <f>'ФЭМ 1.2'!D201</f>
        <v>0.17934447041237175</v>
      </c>
      <c r="G202" s="243">
        <f t="shared" si="8"/>
        <v>0</v>
      </c>
      <c r="H202" s="243">
        <f>'ФЭМ 1.5'!D201</f>
        <v>0.17934447041237175</v>
      </c>
    </row>
    <row r="203" spans="2:8" x14ac:dyDescent="0.3">
      <c r="B203" s="565" t="str">
        <f>[2]Макро!A24</f>
        <v>Налог на имущество</v>
      </c>
      <c r="C203" s="253" t="s">
        <v>271</v>
      </c>
      <c r="D203" s="165">
        <f>'ФЭМ 0.9'!D202</f>
        <v>13.691880973133625</v>
      </c>
      <c r="E203" s="165">
        <f t="shared" si="7"/>
        <v>-1.1129657467037752</v>
      </c>
      <c r="F203" s="165">
        <f>'ФЭМ 1.2'!D202</f>
        <v>12.578915226429849</v>
      </c>
      <c r="G203" s="165">
        <f t="shared" si="8"/>
        <v>-1.091142888925269</v>
      </c>
      <c r="H203" s="165">
        <f>'ФЭМ 1.5'!D202</f>
        <v>11.48777233750458</v>
      </c>
    </row>
    <row r="204" spans="2:8" x14ac:dyDescent="0.3">
      <c r="B204" s="566" t="s">
        <v>80</v>
      </c>
      <c r="C204" s="205" t="s">
        <v>271</v>
      </c>
      <c r="D204" s="165">
        <f>'ФЭМ 0.9'!D203</f>
        <v>305.70475115322029</v>
      </c>
      <c r="E204" s="165">
        <f t="shared" si="7"/>
        <v>-24.849684079620374</v>
      </c>
      <c r="F204" s="165">
        <f>'ФЭМ 1.2'!D203</f>
        <v>280.85506707359991</v>
      </c>
      <c r="G204" s="165">
        <f t="shared" si="8"/>
        <v>-24.362435372176833</v>
      </c>
      <c r="H204" s="165">
        <f>'ФЭМ 1.5'!D203</f>
        <v>256.49263170142308</v>
      </c>
    </row>
    <row r="205" spans="2:8" x14ac:dyDescent="0.3">
      <c r="B205" s="567" t="s">
        <v>163</v>
      </c>
      <c r="C205" s="205" t="s">
        <v>271</v>
      </c>
      <c r="D205" s="165">
        <f>'ФЭМ 0.9'!D204</f>
        <v>155.92459070927484</v>
      </c>
      <c r="E205" s="165">
        <f t="shared" si="7"/>
        <v>-12.674571804177106</v>
      </c>
      <c r="F205" s="165">
        <f>'ФЭМ 1.2'!D204</f>
        <v>143.25001890509773</v>
      </c>
      <c r="G205" s="165">
        <f t="shared" si="8"/>
        <v>-12.426050788408929</v>
      </c>
      <c r="H205" s="165">
        <f>'ФЭМ 1.5'!D204</f>
        <v>130.8239681166888</v>
      </c>
    </row>
    <row r="206" spans="2:8" x14ac:dyDescent="0.3">
      <c r="B206" s="567" t="s">
        <v>84</v>
      </c>
      <c r="C206" s="205" t="s">
        <v>271</v>
      </c>
      <c r="D206" s="165">
        <f>'ФЭМ 0.9'!D205</f>
        <v>14.636624466976242</v>
      </c>
      <c r="E206" s="165">
        <f t="shared" si="7"/>
        <v>-1.1897606845308921</v>
      </c>
      <c r="F206" s="165">
        <f>'ФЭМ 1.2'!D205</f>
        <v>13.44686378244535</v>
      </c>
      <c r="G206" s="165">
        <f t="shared" si="8"/>
        <v>-1.1664320436577373</v>
      </c>
      <c r="H206" s="165">
        <f>'ФЭМ 1.5'!D205</f>
        <v>12.280431738787613</v>
      </c>
    </row>
    <row r="207" spans="2:8" x14ac:dyDescent="0.3">
      <c r="B207" s="668" t="s">
        <v>301</v>
      </c>
      <c r="C207" s="205" t="s">
        <v>271</v>
      </c>
      <c r="D207" s="165">
        <f>'ФЭМ 0.9'!D206</f>
        <v>12578.915363229229</v>
      </c>
      <c r="E207" s="165">
        <f t="shared" si="7"/>
        <v>-423.7518109920602</v>
      </c>
      <c r="F207" s="165">
        <f>'ФЭМ 1.2'!D206</f>
        <v>12155.163552237169</v>
      </c>
      <c r="G207" s="165">
        <f t="shared" si="8"/>
        <v>-468.81927722164073</v>
      </c>
      <c r="H207" s="165">
        <f>'ФЭМ 1.5'!D206</f>
        <v>11686.344275015528</v>
      </c>
    </row>
    <row r="208" spans="2:8" x14ac:dyDescent="0.3">
      <c r="B208" s="669"/>
      <c r="C208" s="564" t="s">
        <v>3</v>
      </c>
      <c r="D208" s="172">
        <f>'ФЭМ 0.9'!D207</f>
        <v>0.70354703922045159</v>
      </c>
      <c r="E208" s="172">
        <f t="shared" si="7"/>
        <v>9.4091525790391817E-3</v>
      </c>
      <c r="F208" s="172">
        <f>'ФЭМ 1.2'!D207</f>
        <v>0.71295619179949077</v>
      </c>
      <c r="G208" s="172">
        <f t="shared" si="8"/>
        <v>3.0248167244467439E-2</v>
      </c>
      <c r="H208" s="172">
        <f>'ФЭМ 1.5'!D207</f>
        <v>0.74320435904395821</v>
      </c>
    </row>
    <row r="209" spans="2:8" hidden="1" outlineLevel="1" x14ac:dyDescent="0.3">
      <c r="B209" s="248" t="s">
        <v>302</v>
      </c>
      <c r="C209" s="237" t="s">
        <v>271</v>
      </c>
      <c r="D209" s="183">
        <f>'ФЭМ 0.9'!D208</f>
        <v>184.00403032145698</v>
      </c>
      <c r="E209" s="183">
        <f t="shared" si="7"/>
        <v>-14.957052533911593</v>
      </c>
      <c r="F209" s="183">
        <f>'ФЭМ 1.2'!D208</f>
        <v>169.04697778754539</v>
      </c>
      <c r="G209" s="183">
        <f t="shared" si="8"/>
        <v>-14.663776994030997</v>
      </c>
      <c r="H209" s="183">
        <f>'ФЭМ 1.5'!D208</f>
        <v>154.38320079351439</v>
      </c>
    </row>
    <row r="210" spans="2:8" hidden="1" outlineLevel="1" x14ac:dyDescent="0.3">
      <c r="B210" s="248" t="s">
        <v>303</v>
      </c>
      <c r="C210" s="237" t="s">
        <v>271</v>
      </c>
      <c r="D210" s="183">
        <f>'ФЭМ 0.9'!D209</f>
        <v>12389.18012446463</v>
      </c>
      <c r="E210" s="183">
        <f t="shared" si="7"/>
        <v>-408.32888830510274</v>
      </c>
      <c r="F210" s="183">
        <f>'ФЭМ 1.2'!D209</f>
        <v>11980.851236159528</v>
      </c>
      <c r="G210" s="183">
        <f t="shared" si="8"/>
        <v>-453.69876478344668</v>
      </c>
      <c r="H210" s="183">
        <f>'ФЭМ 1.5'!D209</f>
        <v>11527.152471376081</v>
      </c>
    </row>
    <row r="211" spans="2:8" hidden="1" outlineLevel="1" x14ac:dyDescent="0.3">
      <c r="B211" s="244" t="s">
        <v>304</v>
      </c>
      <c r="C211" s="237" t="s">
        <v>271</v>
      </c>
      <c r="D211" s="183">
        <f>'ФЭМ 0.9'!D210</f>
        <v>5.7312084431420436</v>
      </c>
      <c r="E211" s="183">
        <f t="shared" si="7"/>
        <v>-0.46587015304564883</v>
      </c>
      <c r="F211" s="183">
        <f>'ФЭМ 1.2'!D210</f>
        <v>5.2653382900963948</v>
      </c>
      <c r="G211" s="183">
        <f t="shared" si="8"/>
        <v>-0.45673544416240031</v>
      </c>
      <c r="H211" s="183">
        <f>'ФЭМ 1.5'!D210</f>
        <v>4.8086028459339945</v>
      </c>
    </row>
    <row r="212" spans="2:8" collapsed="1" x14ac:dyDescent="0.3">
      <c r="B212" s="653" t="s">
        <v>305</v>
      </c>
      <c r="C212" s="563" t="s">
        <v>271</v>
      </c>
      <c r="D212" s="165">
        <f>'ФЭМ 0.9'!D211</f>
        <v>49320.116143987419</v>
      </c>
      <c r="E212" s="165">
        <f t="shared" si="7"/>
        <v>-1330.9080229433384</v>
      </c>
      <c r="F212" s="165">
        <f>'ФЭМ 1.2'!D211</f>
        <v>47989.208121044081</v>
      </c>
      <c r="G212" s="165">
        <f t="shared" si="8"/>
        <v>-1906.7062158898625</v>
      </c>
      <c r="H212" s="165">
        <f>'ФЭМ 1.5'!D211</f>
        <v>46082.501905154219</v>
      </c>
    </row>
    <row r="213" spans="2:8" x14ac:dyDescent="0.3">
      <c r="B213" s="654"/>
      <c r="C213" s="564" t="s">
        <v>3</v>
      </c>
      <c r="D213" s="236">
        <f>'ФЭМ 0.9'!D212</f>
        <v>2.6437269120145643</v>
      </c>
      <c r="E213" s="236">
        <f t="shared" si="7"/>
        <v>0.11783199794890509</v>
      </c>
      <c r="F213" s="236">
        <f>'ФЭМ 1.2'!D212</f>
        <v>2.7615589099634694</v>
      </c>
      <c r="G213" s="236">
        <f t="shared" si="8"/>
        <v>0.10827806344671886</v>
      </c>
      <c r="H213" s="236">
        <f>'ФЭМ 1.5'!D212</f>
        <v>2.8698369734101883</v>
      </c>
    </row>
    <row r="214" spans="2:8" hidden="1" outlineLevel="1" x14ac:dyDescent="0.3">
      <c r="B214" s="168" t="s">
        <v>306</v>
      </c>
      <c r="C214" s="237" t="s">
        <v>271</v>
      </c>
      <c r="D214" s="183">
        <f>'ФЭМ 0.9'!D213</f>
        <v>1016.9548071646888</v>
      </c>
      <c r="E214" s="183">
        <f t="shared" si="7"/>
        <v>-63.663374517607963</v>
      </c>
      <c r="F214" s="183">
        <f>'ФЭМ 1.2'!D213</f>
        <v>953.2914326470808</v>
      </c>
      <c r="G214" s="183">
        <f t="shared" si="8"/>
        <v>-64.936642007960131</v>
      </c>
      <c r="H214" s="183">
        <f>'ФЭМ 1.5'!D213</f>
        <v>888.35479063912067</v>
      </c>
    </row>
    <row r="215" spans="2:8" hidden="1" outlineLevel="1" x14ac:dyDescent="0.3">
      <c r="B215" s="335" t="s">
        <v>401</v>
      </c>
      <c r="C215" s="336" t="s">
        <v>402</v>
      </c>
      <c r="D215" s="337">
        <f>'ФЭМ 0.9'!D214</f>
        <v>554.18155435584663</v>
      </c>
      <c r="E215" s="337">
        <f t="shared" si="7"/>
        <v>-5.7017835427355976</v>
      </c>
      <c r="F215" s="337">
        <f>'ФЭМ 1.2'!D214</f>
        <v>548.47977081311103</v>
      </c>
      <c r="G215" s="337">
        <f t="shared" si="8"/>
        <v>-5.6254390671597321</v>
      </c>
      <c r="H215" s="337">
        <f>'ФЭМ 1.5'!D214</f>
        <v>542.8543317459513</v>
      </c>
    </row>
    <row r="216" spans="2:8" hidden="1" outlineLevel="1" x14ac:dyDescent="0.3">
      <c r="B216" s="168" t="s">
        <v>307</v>
      </c>
      <c r="C216" s="237" t="s">
        <v>271</v>
      </c>
      <c r="D216" s="183">
        <f>'ФЭМ 0.9'!D215</f>
        <v>1313.4176236792614</v>
      </c>
      <c r="E216" s="183">
        <f t="shared" si="7"/>
        <v>-100.82305670877304</v>
      </c>
      <c r="F216" s="183">
        <f>'ФЭМ 1.2'!D215</f>
        <v>1212.5945669704884</v>
      </c>
      <c r="G216" s="183">
        <f t="shared" si="8"/>
        <v>-102.76644475665921</v>
      </c>
      <c r="H216" s="183">
        <f>'ФЭМ 1.5'!D215</f>
        <v>1109.8281222138291</v>
      </c>
    </row>
    <row r="217" spans="2:8" hidden="1" outlineLevel="1" x14ac:dyDescent="0.3">
      <c r="B217" s="168" t="s">
        <v>308</v>
      </c>
      <c r="C217" s="237" t="s">
        <v>271</v>
      </c>
      <c r="D217" s="183">
        <f>'ФЭМ 0.9'!D216</f>
        <v>1313.4176236792614</v>
      </c>
      <c r="E217" s="183">
        <f t="shared" si="7"/>
        <v>-100.82305670877304</v>
      </c>
      <c r="F217" s="183">
        <f>'ФЭМ 1.2'!D216</f>
        <v>1212.5945669704884</v>
      </c>
      <c r="G217" s="183">
        <f t="shared" si="8"/>
        <v>-102.76644475665921</v>
      </c>
      <c r="H217" s="183">
        <f>'ФЭМ 1.5'!D216</f>
        <v>1109.8281222138291</v>
      </c>
    </row>
    <row r="218" spans="2:8" hidden="1" outlineLevel="1" x14ac:dyDescent="0.3">
      <c r="B218" s="168" t="s">
        <v>309</v>
      </c>
      <c r="C218" s="237" t="s">
        <v>271</v>
      </c>
      <c r="D218" s="183">
        <f>'ФЭМ 0.9'!D217</f>
        <v>45676.326089464194</v>
      </c>
      <c r="E218" s="183">
        <f t="shared" si="7"/>
        <v>-1065.5985350081755</v>
      </c>
      <c r="F218" s="183">
        <f>'ФЭМ 1.2'!D217</f>
        <v>44610.727554456018</v>
      </c>
      <c r="G218" s="183">
        <f t="shared" si="8"/>
        <v>-1636.2366843685813</v>
      </c>
      <c r="H218" s="183">
        <f>'ФЭМ 1.5'!D217</f>
        <v>42974.490870087437</v>
      </c>
    </row>
    <row r="219" spans="2:8" collapsed="1" x14ac:dyDescent="0.3">
      <c r="B219" s="568" t="s">
        <v>310</v>
      </c>
      <c r="C219" s="237" t="s">
        <v>271</v>
      </c>
      <c r="D219" s="165">
        <f>'ФЭМ 0.9'!D218</f>
        <v>189850.01672753796</v>
      </c>
      <c r="E219" s="165">
        <f t="shared" si="7"/>
        <v>0</v>
      </c>
      <c r="F219" s="165">
        <f>'ФЭМ 1.2'!D218</f>
        <v>189850.01672753796</v>
      </c>
      <c r="G219" s="165">
        <f t="shared" si="8"/>
        <v>0</v>
      </c>
      <c r="H219" s="165">
        <f>'ФЭМ 1.5'!D218</f>
        <v>189850.01672753799</v>
      </c>
    </row>
    <row r="220" spans="2:8" hidden="1" outlineLevel="1" x14ac:dyDescent="0.3">
      <c r="B220" s="569" t="s">
        <v>311</v>
      </c>
      <c r="C220" s="237" t="s">
        <v>271</v>
      </c>
      <c r="D220" s="183">
        <f>'ФЭМ 0.9'!D219</f>
        <v>156687.54734613191</v>
      </c>
      <c r="E220" s="183">
        <f t="shared" si="7"/>
        <v>0</v>
      </c>
      <c r="F220" s="183">
        <f>'ФЭМ 1.2'!D219</f>
        <v>156687.54734613191</v>
      </c>
      <c r="G220" s="183">
        <f t="shared" si="8"/>
        <v>0</v>
      </c>
      <c r="H220" s="183">
        <f>'ФЭМ 1.5'!D219</f>
        <v>156687.54734613191</v>
      </c>
    </row>
    <row r="221" spans="2:8" hidden="1" outlineLevel="1" x14ac:dyDescent="0.3">
      <c r="B221" s="569" t="s">
        <v>312</v>
      </c>
      <c r="C221" s="237" t="s">
        <v>271</v>
      </c>
      <c r="D221" s="183">
        <f>'ФЭМ 0.9'!D220</f>
        <v>22745.199999999997</v>
      </c>
      <c r="E221" s="183">
        <f t="shared" si="7"/>
        <v>0</v>
      </c>
      <c r="F221" s="183">
        <f>'ФЭМ 1.2'!D220</f>
        <v>22745.199999999993</v>
      </c>
      <c r="G221" s="183">
        <f t="shared" si="8"/>
        <v>0</v>
      </c>
      <c r="H221" s="183">
        <f>'ФЭМ 1.5'!D220</f>
        <v>22745.199999999997</v>
      </c>
    </row>
    <row r="222" spans="2:8" hidden="1" outlineLevel="1" x14ac:dyDescent="0.3">
      <c r="B222" s="569" t="s">
        <v>313</v>
      </c>
      <c r="C222" s="237" t="s">
        <v>271</v>
      </c>
      <c r="D222" s="183">
        <f>'ФЭМ 0.9'!D221</f>
        <v>10417.269381406064</v>
      </c>
      <c r="E222" s="183">
        <f t="shared" si="7"/>
        <v>0</v>
      </c>
      <c r="F222" s="183">
        <f>'ФЭМ 1.2'!D221</f>
        <v>10417.269381406064</v>
      </c>
      <c r="G222" s="183">
        <f t="shared" si="8"/>
        <v>0</v>
      </c>
      <c r="H222" s="183">
        <f>'ФЭМ 1.5'!D221</f>
        <v>10417.269381406064</v>
      </c>
    </row>
    <row r="223" spans="2:8" collapsed="1" x14ac:dyDescent="0.3">
      <c r="B223" s="251" t="s">
        <v>314</v>
      </c>
      <c r="C223" s="235" t="s">
        <v>271</v>
      </c>
      <c r="D223" s="165">
        <f>'ФЭМ 0.9'!D222</f>
        <v>3592908.5847960231</v>
      </c>
      <c r="E223" s="165">
        <f t="shared" si="7"/>
        <v>-215075.70528949518</v>
      </c>
      <c r="F223" s="165">
        <f>'ФЭМ 1.2'!D222</f>
        <v>3377832.8795065279</v>
      </c>
      <c r="G223" s="165">
        <f t="shared" si="8"/>
        <v>-229753.99133170815</v>
      </c>
      <c r="H223" s="165">
        <f>'ФЭМ 1.5'!D222</f>
        <v>3148078.8881748198</v>
      </c>
    </row>
    <row r="224" spans="2:8" x14ac:dyDescent="0.3">
      <c r="B224" s="251" t="s">
        <v>315</v>
      </c>
      <c r="C224" s="253" t="s">
        <v>269</v>
      </c>
      <c r="D224" s="165">
        <f>'ФЭМ 0.9'!D223</f>
        <v>192.59218875929966</v>
      </c>
      <c r="E224" s="165">
        <f t="shared" si="7"/>
        <v>1.7866070157923559</v>
      </c>
      <c r="F224" s="165">
        <f>'ФЭМ 1.2'!D223</f>
        <v>194.37879577509202</v>
      </c>
      <c r="G224" s="165">
        <f t="shared" si="8"/>
        <v>1.6711757974291004</v>
      </c>
      <c r="H224" s="165">
        <f>'ФЭМ 1.5'!D223</f>
        <v>196.04997157252112</v>
      </c>
    </row>
    <row r="225" spans="2:8" ht="27" x14ac:dyDescent="0.3">
      <c r="B225" s="254" t="s">
        <v>316</v>
      </c>
      <c r="C225" s="245" t="s">
        <v>271</v>
      </c>
      <c r="D225" s="255">
        <f>'ФЭМ 0.9'!D224</f>
        <v>1164574.0408779359</v>
      </c>
      <c r="E225" s="255">
        <f t="shared" si="7"/>
        <v>108515.85178867588</v>
      </c>
      <c r="F225" s="255">
        <f>'ФЭМ 1.2'!D224</f>
        <v>1273089.8926666118</v>
      </c>
      <c r="G225" s="255">
        <f t="shared" si="8"/>
        <v>66130.32289485028</v>
      </c>
      <c r="H225" s="255">
        <f>'ФЭМ 1.5'!D224</f>
        <v>1339220.2155614621</v>
      </c>
    </row>
    <row r="226" spans="2:8" x14ac:dyDescent="0.3">
      <c r="B226" s="244" t="s">
        <v>317</v>
      </c>
      <c r="C226" s="237" t="s">
        <v>271</v>
      </c>
      <c r="D226" s="255">
        <f>'ФЭМ 0.9'!D225</f>
        <v>974724.02415039809</v>
      </c>
      <c r="E226" s="255">
        <f t="shared" si="7"/>
        <v>108515.85178867588</v>
      </c>
      <c r="F226" s="255">
        <f>'ФЭМ 1.2'!D225</f>
        <v>1083239.875939074</v>
      </c>
      <c r="G226" s="255">
        <f t="shared" si="8"/>
        <v>66130.322894849814</v>
      </c>
      <c r="H226" s="255">
        <f>'ФЭМ 1.5'!D225</f>
        <v>1149370.1988339238</v>
      </c>
    </row>
    <row r="227" spans="2:8" ht="26.4" x14ac:dyDescent="0.3">
      <c r="B227" s="239" t="s">
        <v>318</v>
      </c>
      <c r="C227" s="237" t="s">
        <v>271</v>
      </c>
      <c r="D227" s="255">
        <f>'ФЭМ 0.9'!D226</f>
        <v>974724.02415039809</v>
      </c>
      <c r="E227" s="255">
        <f t="shared" si="7"/>
        <v>108515.85178867588</v>
      </c>
      <c r="F227" s="255">
        <f>'ФЭМ 1.2'!D226</f>
        <v>1083239.875939074</v>
      </c>
      <c r="G227" s="255">
        <f t="shared" si="8"/>
        <v>66130.322894849814</v>
      </c>
      <c r="H227" s="255">
        <f>'ФЭМ 1.5'!D226</f>
        <v>1149370.1988339238</v>
      </c>
    </row>
    <row r="228" spans="2:8" x14ac:dyDescent="0.3">
      <c r="B228" s="244" t="s">
        <v>319</v>
      </c>
      <c r="C228" s="237" t="s">
        <v>271</v>
      </c>
      <c r="D228" s="255">
        <f>'ФЭМ 0.9'!D227</f>
        <v>197215</v>
      </c>
      <c r="E228" s="255">
        <f t="shared" si="7"/>
        <v>19434</v>
      </c>
      <c r="F228" s="255">
        <f>'ФЭМ 1.2'!D227</f>
        <v>216649</v>
      </c>
      <c r="G228" s="255">
        <f t="shared" si="8"/>
        <v>13225</v>
      </c>
      <c r="H228" s="255">
        <f>'ФЭМ 1.5'!D227</f>
        <v>229874</v>
      </c>
    </row>
    <row r="229" spans="2:8" x14ac:dyDescent="0.3">
      <c r="B229" s="251" t="s">
        <v>320</v>
      </c>
      <c r="C229" s="237" t="s">
        <v>271</v>
      </c>
      <c r="D229" s="255">
        <f>'ФЭМ 0.9'!D228</f>
        <v>777509.02415039809</v>
      </c>
      <c r="E229" s="255">
        <f t="shared" si="7"/>
        <v>89081.851788675413</v>
      </c>
      <c r="F229" s="255">
        <f>'ФЭМ 1.2'!D228</f>
        <v>866590.87593907351</v>
      </c>
      <c r="G229" s="255">
        <f t="shared" si="8"/>
        <v>52905.322894850164</v>
      </c>
      <c r="H229" s="255">
        <f>'ФЭМ 1.5'!D228</f>
        <v>919496.19883392367</v>
      </c>
    </row>
    <row r="230" spans="2:8" x14ac:dyDescent="0.3">
      <c r="B230" s="251" t="s">
        <v>321</v>
      </c>
      <c r="C230" s="237" t="s">
        <v>271</v>
      </c>
      <c r="D230" s="255">
        <f>'ФЭМ 0.9'!D229</f>
        <v>-190177.89845253804</v>
      </c>
      <c r="E230" s="255">
        <f t="shared" si="7"/>
        <v>0</v>
      </c>
      <c r="F230" s="255">
        <f>'ФЭМ 1.2'!D229</f>
        <v>-190177.89845253801</v>
      </c>
      <c r="G230" s="255">
        <f t="shared" si="8"/>
        <v>0</v>
      </c>
      <c r="H230" s="255">
        <f>'ФЭМ 1.5'!D229</f>
        <v>-190177.89845253804</v>
      </c>
    </row>
    <row r="231" spans="2:8" x14ac:dyDescent="0.3">
      <c r="B231" s="251" t="s">
        <v>322</v>
      </c>
      <c r="C231" s="237" t="s">
        <v>271</v>
      </c>
      <c r="D231" s="255">
        <f>'ФЭМ 0.9'!D230</f>
        <v>-190177.89845253798</v>
      </c>
      <c r="E231" s="255">
        <f t="shared" si="7"/>
        <v>0</v>
      </c>
      <c r="F231" s="255">
        <f>'ФЭМ 1.2'!D230</f>
        <v>-190177.89845253798</v>
      </c>
      <c r="G231" s="255">
        <f t="shared" si="8"/>
        <v>0</v>
      </c>
      <c r="H231" s="255">
        <f>'ФЭМ 1.5'!D230</f>
        <v>-190177.89845253798</v>
      </c>
    </row>
    <row r="232" spans="2:8" x14ac:dyDescent="0.3">
      <c r="B232" s="251" t="s">
        <v>323</v>
      </c>
      <c r="C232" s="253" t="s">
        <v>269</v>
      </c>
      <c r="D232" s="255">
        <f>'ФЭМ 0.9'!D231</f>
        <v>-10.194185811353588</v>
      </c>
      <c r="E232" s="255">
        <f t="shared" si="7"/>
        <v>-0.74968033090581265</v>
      </c>
      <c r="F232" s="255">
        <f>'ФЭМ 1.2'!D231</f>
        <v>-10.943866142259401</v>
      </c>
      <c r="G232" s="255">
        <f t="shared" si="8"/>
        <v>-0.89966539228815279</v>
      </c>
      <c r="H232" s="255">
        <f>'ФЭМ 1.5'!D231</f>
        <v>-11.843531534547553</v>
      </c>
    </row>
    <row r="233" spans="2:8" x14ac:dyDescent="0.3">
      <c r="B233" s="244" t="s">
        <v>272</v>
      </c>
      <c r="C233" s="237"/>
      <c r="D233" s="258"/>
      <c r="E233" s="258"/>
      <c r="F233" s="258"/>
      <c r="G233" s="258"/>
      <c r="H233" s="258"/>
    </row>
    <row r="234" spans="2:8" x14ac:dyDescent="0.3">
      <c r="B234" s="248" t="s">
        <v>59</v>
      </c>
      <c r="C234" s="237" t="s">
        <v>271</v>
      </c>
      <c r="D234" s="255">
        <f>'ФЭМ 0.9'!D233</f>
        <v>-22745.199999999997</v>
      </c>
      <c r="E234" s="255">
        <f t="shared" si="7"/>
        <v>0</v>
      </c>
      <c r="F234" s="255">
        <f>'ФЭМ 1.2'!D233</f>
        <v>-22745.199999999997</v>
      </c>
      <c r="G234" s="255">
        <f t="shared" si="8"/>
        <v>0</v>
      </c>
      <c r="H234" s="255">
        <f>'ФЭМ 1.5'!D233</f>
        <v>-22745.199999999997</v>
      </c>
    </row>
    <row r="235" spans="2:8" x14ac:dyDescent="0.3">
      <c r="B235" s="244" t="s">
        <v>324</v>
      </c>
      <c r="C235" s="237" t="s">
        <v>271</v>
      </c>
      <c r="D235" s="255">
        <f>'ФЭМ 0.9'!D234</f>
        <v>-8769.0629314060643</v>
      </c>
      <c r="E235" s="255">
        <f t="shared" si="7"/>
        <v>0</v>
      </c>
      <c r="F235" s="255">
        <f>'ФЭМ 1.2'!D234</f>
        <v>-8769.0629314060643</v>
      </c>
      <c r="G235" s="255">
        <f t="shared" si="8"/>
        <v>0</v>
      </c>
      <c r="H235" s="255">
        <f>'ФЭМ 1.5'!D234</f>
        <v>-8769.0629314060643</v>
      </c>
    </row>
    <row r="236" spans="2:8" x14ac:dyDescent="0.3">
      <c r="B236" s="248" t="s">
        <v>521</v>
      </c>
      <c r="C236" s="237" t="s">
        <v>271</v>
      </c>
      <c r="D236" s="255">
        <f>'ФЭМ 0.9'!D235</f>
        <v>-1976.0881749999999</v>
      </c>
      <c r="E236" s="255">
        <f t="shared" si="7"/>
        <v>0</v>
      </c>
      <c r="F236" s="255">
        <f>'ФЭМ 1.2'!D235</f>
        <v>-1976.0881749999999</v>
      </c>
      <c r="G236" s="255">
        <f t="shared" si="8"/>
        <v>0</v>
      </c>
      <c r="H236" s="255">
        <f>'ФЭМ 1.5'!D235</f>
        <v>-1976.0881749999999</v>
      </c>
    </row>
    <row r="237" spans="2:8" ht="26.4" x14ac:dyDescent="0.3">
      <c r="B237" s="248" t="s">
        <v>325</v>
      </c>
      <c r="C237" s="237" t="s">
        <v>271</v>
      </c>
      <c r="D237" s="255">
        <f>'ФЭМ 0.9'!D236</f>
        <v>-156687.54734613193</v>
      </c>
      <c r="E237" s="255">
        <f t="shared" si="7"/>
        <v>0</v>
      </c>
      <c r="F237" s="255">
        <f>'ФЭМ 1.2'!D236</f>
        <v>-156687.54734613193</v>
      </c>
      <c r="G237" s="255">
        <f t="shared" si="8"/>
        <v>0</v>
      </c>
      <c r="H237" s="255">
        <f>'ФЭМ 1.5'!D236</f>
        <v>-156687.54734613193</v>
      </c>
    </row>
    <row r="238" spans="2:8" x14ac:dyDescent="0.3">
      <c r="B238" s="244" t="s">
        <v>60</v>
      </c>
      <c r="C238" s="246" t="s">
        <v>271</v>
      </c>
      <c r="D238" s="255">
        <f>'ФЭМ 0.9'!D237</f>
        <v>0</v>
      </c>
      <c r="E238" s="255">
        <f t="shared" si="7"/>
        <v>0</v>
      </c>
      <c r="F238" s="255">
        <f>'ФЭМ 1.2'!D237</f>
        <v>0</v>
      </c>
      <c r="G238" s="255">
        <f t="shared" si="8"/>
        <v>0</v>
      </c>
      <c r="H238" s="255">
        <f>'ФЭМ 1.5'!D237</f>
        <v>0</v>
      </c>
    </row>
    <row r="239" spans="2:8" x14ac:dyDescent="0.3">
      <c r="B239" s="251" t="s">
        <v>326</v>
      </c>
      <c r="C239" s="253" t="s">
        <v>271</v>
      </c>
      <c r="D239" s="255">
        <f>'ФЭМ 0.9'!D238</f>
        <v>777181.14242539788</v>
      </c>
      <c r="E239" s="255">
        <f t="shared" si="7"/>
        <v>89081.851788675645</v>
      </c>
      <c r="F239" s="255">
        <f>'ФЭМ 1.2'!D238</f>
        <v>866262.99421407352</v>
      </c>
      <c r="G239" s="255">
        <f t="shared" si="8"/>
        <v>52905.32289485028</v>
      </c>
      <c r="H239" s="255">
        <f>'ФЭМ 1.5'!D238</f>
        <v>919168.3171089238</v>
      </c>
    </row>
    <row r="240" spans="2:8" x14ac:dyDescent="0.3">
      <c r="B240" s="251" t="s">
        <v>327</v>
      </c>
      <c r="C240" s="237" t="s">
        <v>271</v>
      </c>
      <c r="D240" s="260">
        <f>'ФЭМ 0.9'!D239</f>
        <v>0</v>
      </c>
      <c r="E240" s="260">
        <f t="shared" si="7"/>
        <v>0</v>
      </c>
      <c r="F240" s="260">
        <f>'ФЭМ 1.2'!D239</f>
        <v>0</v>
      </c>
      <c r="G240" s="260">
        <f t="shared" si="8"/>
        <v>0</v>
      </c>
      <c r="H240" s="260">
        <f>'ФЭМ 1.5'!D239</f>
        <v>0</v>
      </c>
    </row>
    <row r="241" spans="2:8" x14ac:dyDescent="0.3">
      <c r="B241" s="262" t="s">
        <v>328</v>
      </c>
      <c r="C241" s="237"/>
      <c r="D241" s="263"/>
      <c r="E241" s="263"/>
      <c r="F241" s="263"/>
      <c r="G241" s="263"/>
      <c r="H241" s="263"/>
    </row>
    <row r="242" spans="2:8" x14ac:dyDescent="0.3">
      <c r="B242" s="264" t="s">
        <v>329</v>
      </c>
      <c r="C242" s="237" t="s">
        <v>271</v>
      </c>
      <c r="D242" s="255">
        <f>'ФЭМ 0.9'!D241</f>
        <v>462805.22201237519</v>
      </c>
      <c r="E242" s="255">
        <f t="shared" si="7"/>
        <v>73719.141035916808</v>
      </c>
      <c r="F242" s="255">
        <f>'ФЭМ 1.2'!D241</f>
        <v>536524.363048292</v>
      </c>
      <c r="G242" s="255">
        <f t="shared" si="8"/>
        <v>35974.22637529776</v>
      </c>
      <c r="H242" s="255">
        <f>'ФЭМ 1.5'!D241</f>
        <v>572498.58942358976</v>
      </c>
    </row>
    <row r="243" spans="2:8" x14ac:dyDescent="0.3">
      <c r="B243" s="264" t="s">
        <v>330</v>
      </c>
      <c r="C243" s="237" t="s">
        <v>271</v>
      </c>
      <c r="D243" s="255">
        <f>'ФЭМ 0.9'!D242</f>
        <v>277758.56987121294</v>
      </c>
      <c r="E243" s="255">
        <f t="shared" si="7"/>
        <v>59587.595886977331</v>
      </c>
      <c r="F243" s="255">
        <f>'ФЭМ 1.2'!D242</f>
        <v>337346.16575819027</v>
      </c>
      <c r="G243" s="255">
        <f t="shared" si="8"/>
        <v>25190.66527960723</v>
      </c>
      <c r="H243" s="255">
        <f>'ФЭМ 1.5'!D242</f>
        <v>362536.8310377975</v>
      </c>
    </row>
    <row r="244" spans="2:8" x14ac:dyDescent="0.3">
      <c r="B244" s="264" t="s">
        <v>531</v>
      </c>
      <c r="C244" s="237" t="s">
        <v>271</v>
      </c>
      <c r="D244" s="255">
        <f>'ФЭМ 0.9'!D243</f>
        <v>163863.32877134203</v>
      </c>
      <c r="E244" s="255">
        <f t="shared" si="7"/>
        <v>48058.224980179017</v>
      </c>
      <c r="F244" s="255">
        <f>'ФЭМ 1.2'!D243</f>
        <v>211921.55375152105</v>
      </c>
      <c r="G244" s="255">
        <f t="shared" si="8"/>
        <v>18305.110061621206</v>
      </c>
      <c r="H244" s="255">
        <f>'ФЭМ 1.5'!D243</f>
        <v>230226.66381314225</v>
      </c>
    </row>
    <row r="245" spans="2:8" x14ac:dyDescent="0.3">
      <c r="B245" s="264" t="s">
        <v>331</v>
      </c>
      <c r="C245" s="237" t="s">
        <v>271</v>
      </c>
      <c r="D245" s="255">
        <f>'ФЭМ 0.9'!D244</f>
        <v>90956.107980465065</v>
      </c>
      <c r="E245" s="255">
        <f t="shared" si="7"/>
        <v>39031.449777496557</v>
      </c>
      <c r="F245" s="255">
        <f>'ФЭМ 1.2'!D244</f>
        <v>129987.55775796162</v>
      </c>
      <c r="G245" s="255">
        <f t="shared" si="8"/>
        <v>13844.710397193528</v>
      </c>
      <c r="H245" s="255">
        <f>'ФЭМ 1.5'!D244</f>
        <v>143832.26815515515</v>
      </c>
    </row>
    <row r="246" spans="2:8" x14ac:dyDescent="0.3">
      <c r="B246" s="264"/>
      <c r="C246" s="237"/>
      <c r="D246" s="255"/>
      <c r="E246" s="255"/>
      <c r="F246" s="255"/>
      <c r="G246" s="255"/>
      <c r="H246" s="255"/>
    </row>
    <row r="247" spans="2:8" x14ac:dyDescent="0.3">
      <c r="B247" s="262" t="s">
        <v>332</v>
      </c>
      <c r="C247" s="237" t="s">
        <v>2</v>
      </c>
      <c r="D247" s="267">
        <f>'ФЭМ 0.9'!D246</f>
        <v>0.31920081511948739</v>
      </c>
      <c r="E247" s="267">
        <f t="shared" si="7"/>
        <v>5.2333786263041526E-2</v>
      </c>
      <c r="F247" s="267">
        <f>'ФЭМ 1.2'!D246</f>
        <v>0.37153460138252892</v>
      </c>
      <c r="G247" s="267">
        <f t="shared" si="8"/>
        <v>1.7539068417282477E-2</v>
      </c>
      <c r="H247" s="267">
        <f>'ФЭМ 1.5'!D246</f>
        <v>0.38907366979981139</v>
      </c>
    </row>
    <row r="248" spans="2:8" x14ac:dyDescent="0.3">
      <c r="B248" s="262" t="s">
        <v>526</v>
      </c>
      <c r="C248" s="270"/>
      <c r="D248" s="552">
        <f>'ФЭМ 0.9'!D247</f>
        <v>-6.1236034804989403</v>
      </c>
      <c r="E248" s="552">
        <f t="shared" si="7"/>
        <v>-0.5706018032150979</v>
      </c>
      <c r="F248" s="552">
        <f>'ФЭМ 1.2'!D247</f>
        <v>-6.6942052837140382</v>
      </c>
      <c r="G248" s="552">
        <f t="shared" si="8"/>
        <v>-0.3477287499385957</v>
      </c>
      <c r="H248" s="552">
        <f>'ФЭМ 1.5'!D247</f>
        <v>-7.0419340336526339</v>
      </c>
    </row>
    <row r="249" spans="2:8" x14ac:dyDescent="0.3">
      <c r="B249" s="168" t="s">
        <v>527</v>
      </c>
      <c r="C249" s="168" t="s">
        <v>529</v>
      </c>
      <c r="D249" s="213">
        <f>'ФЭМ 0.9'!D248</f>
        <v>14</v>
      </c>
      <c r="E249" s="213">
        <f t="shared" si="7"/>
        <v>-1</v>
      </c>
      <c r="F249" s="213">
        <f>'ФЭМ 1.2'!D248</f>
        <v>13</v>
      </c>
      <c r="G249" s="213">
        <f t="shared" si="8"/>
        <v>-1</v>
      </c>
      <c r="H249" s="213">
        <f>'ФЭМ 1.5'!D248</f>
        <v>12</v>
      </c>
    </row>
    <row r="250" spans="2:8" x14ac:dyDescent="0.3">
      <c r="B250" s="269" t="s">
        <v>528</v>
      </c>
      <c r="C250" s="168" t="s">
        <v>529</v>
      </c>
      <c r="D250" s="271">
        <f>'ФЭМ 0.9'!D249</f>
        <v>5.7238956325719235</v>
      </c>
      <c r="E250" s="271">
        <f t="shared" si="7"/>
        <v>-2.9931930608967314</v>
      </c>
      <c r="F250" s="271">
        <f>'ФЭМ 1.2'!D249</f>
        <v>2.730702571675192</v>
      </c>
      <c r="G250" s="271">
        <f t="shared" si="8"/>
        <v>-0.12384877862339305</v>
      </c>
      <c r="H250" s="271">
        <f>'ФЭМ 1.5'!D249</f>
        <v>2.606853793051799</v>
      </c>
    </row>
  </sheetData>
  <mergeCells count="40">
    <mergeCell ref="B182:B183"/>
    <mergeCell ref="B201:B202"/>
    <mergeCell ref="B207:B208"/>
    <mergeCell ref="B146:B147"/>
    <mergeCell ref="B148:B149"/>
    <mergeCell ref="B150:B151"/>
    <mergeCell ref="B152:B153"/>
    <mergeCell ref="B164:B165"/>
    <mergeCell ref="B141:B142"/>
    <mergeCell ref="B144:B145"/>
    <mergeCell ref="G3:G4"/>
    <mergeCell ref="B179:B180"/>
    <mergeCell ref="B129:B130"/>
    <mergeCell ref="B131:B132"/>
    <mergeCell ref="B133:B134"/>
    <mergeCell ref="B135:B136"/>
    <mergeCell ref="B137:B138"/>
    <mergeCell ref="B139:B140"/>
    <mergeCell ref="B3:B4"/>
    <mergeCell ref="B111:B112"/>
    <mergeCell ref="B126:B127"/>
    <mergeCell ref="D3:D4"/>
    <mergeCell ref="B212:B213"/>
    <mergeCell ref="C3:C4"/>
    <mergeCell ref="B166:B167"/>
    <mergeCell ref="B168:B169"/>
    <mergeCell ref="B170:B171"/>
    <mergeCell ref="B172:B173"/>
    <mergeCell ref="B174:B175"/>
    <mergeCell ref="B176:B177"/>
    <mergeCell ref="B154:B155"/>
    <mergeCell ref="B156:B157"/>
    <mergeCell ref="B158:B159"/>
    <mergeCell ref="B160:B161"/>
    <mergeCell ref="B162:B163"/>
    <mergeCell ref="F3:F4"/>
    <mergeCell ref="H3:H4"/>
    <mergeCell ref="E3:E4"/>
    <mergeCell ref="B107:B108"/>
    <mergeCell ref="B109:B1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</sheetPr>
  <dimension ref="A1:U251"/>
  <sheetViews>
    <sheetView topLeftCell="A229" workbookViewId="0">
      <selection activeCell="F233" sqref="F233:J233"/>
    </sheetView>
  </sheetViews>
  <sheetFormatPr defaultColWidth="9.109375" defaultRowHeight="13.2" x14ac:dyDescent="0.25"/>
  <cols>
    <col min="1" max="1" width="7.33203125" style="163" customWidth="1"/>
    <col min="2" max="2" width="49" style="163" customWidth="1"/>
    <col min="3" max="3" width="14.109375" style="163" customWidth="1"/>
    <col min="4" max="4" width="25" style="163" customWidth="1"/>
    <col min="5" max="5" width="11.88671875" style="163" customWidth="1"/>
    <col min="6" max="6" width="12.6640625" style="163" customWidth="1"/>
    <col min="7" max="7" width="13.33203125" style="163" customWidth="1"/>
    <col min="8" max="8" width="12.109375" style="163" customWidth="1"/>
    <col min="9" max="9" width="11.88671875" style="163" customWidth="1"/>
    <col min="10" max="13" width="10.5546875" style="163" customWidth="1"/>
    <col min="14" max="19" width="10.5546875" style="163" bestFit="1" customWidth="1"/>
    <col min="20" max="16384" width="9.109375" style="163"/>
  </cols>
  <sheetData>
    <row r="1" spans="2:19" x14ac:dyDescent="0.25">
      <c r="L1" s="163">
        <v>1</v>
      </c>
    </row>
    <row r="2" spans="2:19" x14ac:dyDescent="0.25">
      <c r="B2" s="559" t="s">
        <v>212</v>
      </c>
      <c r="C2" s="559"/>
      <c r="D2" s="559"/>
      <c r="E2" s="559"/>
      <c r="F2" s="559"/>
      <c r="G2" s="559"/>
      <c r="H2" s="559"/>
      <c r="I2" s="559"/>
      <c r="J2" s="559"/>
      <c r="K2" s="559"/>
      <c r="L2" s="559"/>
    </row>
    <row r="3" spans="2:19" x14ac:dyDescent="0.25">
      <c r="B3" s="558" t="s">
        <v>351</v>
      </c>
      <c r="C3" s="558"/>
      <c r="D3" s="558"/>
      <c r="E3" s="558"/>
      <c r="F3" s="558"/>
      <c r="G3" s="558"/>
      <c r="H3" s="558"/>
      <c r="I3" s="558"/>
      <c r="J3" s="558"/>
      <c r="K3" s="558"/>
      <c r="L3" s="558"/>
    </row>
    <row r="4" spans="2:19" x14ac:dyDescent="0.25">
      <c r="E4" s="164">
        <v>2023</v>
      </c>
      <c r="F4" s="164">
        <v>2024</v>
      </c>
      <c r="G4" s="164">
        <v>2025</v>
      </c>
      <c r="H4" s="164">
        <v>2026</v>
      </c>
      <c r="I4" s="164">
        <v>2027</v>
      </c>
      <c r="J4" s="164">
        <v>2028</v>
      </c>
      <c r="K4" s="164">
        <v>2029</v>
      </c>
      <c r="L4" s="164">
        <v>2030</v>
      </c>
      <c r="M4" s="164">
        <v>2031</v>
      </c>
      <c r="N4" s="164">
        <v>2032</v>
      </c>
      <c r="O4" s="164">
        <v>2033</v>
      </c>
      <c r="P4" s="164">
        <v>2034</v>
      </c>
      <c r="Q4" s="164">
        <v>2035</v>
      </c>
      <c r="R4" s="164">
        <v>2036</v>
      </c>
      <c r="S4" s="164">
        <v>2037</v>
      </c>
    </row>
    <row r="5" spans="2:19" x14ac:dyDescent="0.25">
      <c r="B5" s="676" t="s">
        <v>0</v>
      </c>
      <c r="C5" s="645" t="s">
        <v>213</v>
      </c>
      <c r="D5" s="645" t="s">
        <v>214</v>
      </c>
      <c r="E5" s="193"/>
      <c r="F5" s="676" t="s">
        <v>215</v>
      </c>
      <c r="G5" s="676"/>
      <c r="H5" s="676"/>
      <c r="I5" s="676"/>
      <c r="J5" s="676"/>
      <c r="K5" s="676"/>
      <c r="L5" s="676"/>
    </row>
    <row r="6" spans="2:19" x14ac:dyDescent="0.25">
      <c r="B6" s="676"/>
      <c r="C6" s="645"/>
      <c r="D6" s="645"/>
      <c r="E6" s="193">
        <v>-1</v>
      </c>
      <c r="F6" s="167">
        <v>1</v>
      </c>
      <c r="G6" s="167">
        <f>F6+1</f>
        <v>2</v>
      </c>
      <c r="H6" s="167">
        <f t="shared" ref="H6:S6" si="0">G6+1</f>
        <v>3</v>
      </c>
      <c r="I6" s="167">
        <f t="shared" si="0"/>
        <v>4</v>
      </c>
      <c r="J6" s="167">
        <f t="shared" si="0"/>
        <v>5</v>
      </c>
      <c r="K6" s="167">
        <f>J6+1</f>
        <v>6</v>
      </c>
      <c r="L6" s="167">
        <f t="shared" si="0"/>
        <v>7</v>
      </c>
      <c r="M6" s="167">
        <f t="shared" si="0"/>
        <v>8</v>
      </c>
      <c r="N6" s="167">
        <f t="shared" si="0"/>
        <v>9</v>
      </c>
      <c r="O6" s="167">
        <f t="shared" si="0"/>
        <v>10</v>
      </c>
      <c r="P6" s="167">
        <f t="shared" si="0"/>
        <v>11</v>
      </c>
      <c r="Q6" s="167">
        <f t="shared" si="0"/>
        <v>12</v>
      </c>
      <c r="R6" s="167">
        <f t="shared" si="0"/>
        <v>13</v>
      </c>
      <c r="S6" s="167">
        <f t="shared" si="0"/>
        <v>14</v>
      </c>
    </row>
    <row r="7" spans="2:19" x14ac:dyDescent="0.25">
      <c r="B7" s="564" t="s">
        <v>216</v>
      </c>
      <c r="C7" s="193" t="s">
        <v>217</v>
      </c>
      <c r="D7" s="165">
        <f>'Расч эксп запасов'!D6</f>
        <v>17729.408399875101</v>
      </c>
      <c r="E7" s="165"/>
      <c r="F7" s="166"/>
      <c r="G7" s="167"/>
      <c r="H7" s="167"/>
      <c r="I7" s="167"/>
      <c r="J7" s="167"/>
      <c r="K7" s="167"/>
      <c r="L7" s="167"/>
      <c r="M7" s="168"/>
      <c r="N7" s="168"/>
      <c r="O7" s="168"/>
      <c r="P7" s="168"/>
      <c r="Q7" s="168"/>
      <c r="R7" s="168"/>
      <c r="S7" s="168"/>
    </row>
    <row r="8" spans="2:19" x14ac:dyDescent="0.25">
      <c r="B8" s="571" t="s">
        <v>218</v>
      </c>
      <c r="C8" s="193"/>
      <c r="F8" s="166"/>
      <c r="G8" s="167"/>
      <c r="H8" s="167"/>
      <c r="I8" s="167"/>
      <c r="J8" s="167"/>
      <c r="K8" s="167"/>
      <c r="L8" s="167"/>
      <c r="M8" s="168"/>
      <c r="N8" s="168"/>
      <c r="O8" s="168"/>
      <c r="P8" s="168"/>
      <c r="Q8" s="168"/>
      <c r="R8" s="168"/>
      <c r="S8" s="168"/>
    </row>
    <row r="9" spans="2:19" x14ac:dyDescent="0.25">
      <c r="B9" s="169" t="s">
        <v>219</v>
      </c>
      <c r="C9" s="193" t="s">
        <v>2</v>
      </c>
      <c r="D9" s="172">
        <f>'Расч эксп запасов'!E6</f>
        <v>2.0488878456639599</v>
      </c>
      <c r="E9" s="170"/>
      <c r="F9" s="166"/>
      <c r="G9" s="167"/>
      <c r="H9" s="167"/>
      <c r="I9" s="167"/>
      <c r="J9" s="167"/>
      <c r="K9" s="167"/>
      <c r="L9" s="167"/>
      <c r="M9" s="168"/>
      <c r="N9" s="168"/>
      <c r="O9" s="168"/>
      <c r="P9" s="168"/>
      <c r="Q9" s="168"/>
      <c r="R9" s="168"/>
      <c r="S9" s="168"/>
    </row>
    <row r="10" spans="2:19" x14ac:dyDescent="0.25">
      <c r="B10" s="169" t="s">
        <v>220</v>
      </c>
      <c r="C10" s="193" t="s">
        <v>2</v>
      </c>
      <c r="D10" s="172">
        <f>'Расч эксп запасов'!F6</f>
        <v>4.0424732233729799</v>
      </c>
      <c r="E10" s="170"/>
      <c r="F10" s="166"/>
      <c r="G10" s="167"/>
      <c r="H10" s="167"/>
      <c r="I10" s="167"/>
      <c r="J10" s="167"/>
      <c r="K10" s="167"/>
      <c r="L10" s="167"/>
      <c r="M10" s="168"/>
      <c r="N10" s="168"/>
      <c r="O10" s="168"/>
      <c r="P10" s="168"/>
      <c r="Q10" s="168"/>
      <c r="R10" s="168"/>
      <c r="S10" s="168"/>
    </row>
    <row r="11" spans="2:19" x14ac:dyDescent="0.25">
      <c r="B11" s="171" t="s">
        <v>221</v>
      </c>
      <c r="C11" s="193" t="s">
        <v>2</v>
      </c>
      <c r="D11" s="172">
        <f>'Расч эксп запасов'!G6</f>
        <v>1.2486675397173701</v>
      </c>
      <c r="E11" s="170"/>
      <c r="F11" s="166"/>
      <c r="G11" s="167"/>
      <c r="H11" s="167"/>
      <c r="I11" s="167"/>
      <c r="J11" s="167"/>
      <c r="K11" s="167"/>
      <c r="L11" s="167"/>
      <c r="M11" s="168"/>
      <c r="N11" s="168"/>
      <c r="O11" s="168"/>
      <c r="P11" s="168"/>
      <c r="Q11" s="168"/>
      <c r="R11" s="168"/>
      <c r="S11" s="168"/>
    </row>
    <row r="12" spans="2:19" x14ac:dyDescent="0.25">
      <c r="B12" s="169" t="s">
        <v>222</v>
      </c>
      <c r="C12" s="193" t="s">
        <v>223</v>
      </c>
      <c r="D12" s="172">
        <f>'Расч эксп запасов'!H6</f>
        <v>0.84679020911172997</v>
      </c>
      <c r="E12" s="170"/>
      <c r="F12" s="123"/>
      <c r="G12" s="167"/>
      <c r="H12" s="167"/>
      <c r="I12" s="167"/>
      <c r="J12" s="167"/>
      <c r="K12" s="167"/>
      <c r="L12" s="172"/>
      <c r="M12" s="168"/>
      <c r="N12" s="168"/>
      <c r="O12" s="168"/>
      <c r="P12" s="168"/>
      <c r="Q12" s="168"/>
      <c r="R12" s="168"/>
      <c r="S12" s="168"/>
    </row>
    <row r="13" spans="2:19" x14ac:dyDescent="0.25">
      <c r="B13" s="169" t="s">
        <v>224</v>
      </c>
      <c r="C13" s="193" t="s">
        <v>223</v>
      </c>
      <c r="D13" s="172">
        <f>'Расч эксп запасов'!I6</f>
        <v>96.061350230072406</v>
      </c>
      <c r="E13" s="170"/>
      <c r="F13" s="123"/>
      <c r="G13" s="167"/>
      <c r="H13" s="167"/>
      <c r="I13" s="167"/>
      <c r="J13" s="167"/>
      <c r="K13" s="167"/>
      <c r="L13" s="172"/>
      <c r="M13" s="168"/>
      <c r="N13" s="168"/>
      <c r="O13" s="168"/>
      <c r="P13" s="168"/>
      <c r="Q13" s="168"/>
      <c r="R13" s="168"/>
      <c r="S13" s="168"/>
    </row>
    <row r="14" spans="2:19" x14ac:dyDescent="0.25">
      <c r="B14" s="571" t="s">
        <v>225</v>
      </c>
      <c r="C14" s="193"/>
      <c r="D14" s="172"/>
      <c r="E14" s="170"/>
      <c r="F14" s="173"/>
      <c r="G14" s="167"/>
      <c r="H14" s="167"/>
      <c r="I14" s="167"/>
      <c r="J14" s="167"/>
      <c r="K14" s="167"/>
      <c r="L14" s="167"/>
      <c r="M14" s="168"/>
      <c r="N14" s="168"/>
      <c r="O14" s="168"/>
      <c r="P14" s="168"/>
      <c r="Q14" s="168"/>
      <c r="R14" s="168"/>
      <c r="S14" s="168"/>
    </row>
    <row r="15" spans="2:19" x14ac:dyDescent="0.25">
      <c r="B15" s="169" t="s">
        <v>219</v>
      </c>
      <c r="C15" s="193" t="s">
        <v>226</v>
      </c>
      <c r="D15" s="190">
        <f>'Расч эксп запасов'!J6</f>
        <v>363255.69381316612</v>
      </c>
      <c r="E15" s="174"/>
      <c r="F15" s="173"/>
      <c r="G15" s="167"/>
      <c r="H15" s="167"/>
      <c r="I15" s="167"/>
      <c r="J15" s="167"/>
      <c r="K15" s="167"/>
      <c r="L15" s="167"/>
      <c r="M15" s="168"/>
      <c r="N15" s="168"/>
      <c r="O15" s="168"/>
      <c r="P15" s="168"/>
      <c r="Q15" s="168"/>
      <c r="R15" s="168"/>
      <c r="S15" s="168"/>
    </row>
    <row r="16" spans="2:19" x14ac:dyDescent="0.25">
      <c r="B16" s="169" t="s">
        <v>220</v>
      </c>
      <c r="C16" s="193" t="s">
        <v>226</v>
      </c>
      <c r="D16" s="190">
        <f>'Расч эксп запасов'!K6</f>
        <v>716706.58722739085</v>
      </c>
      <c r="E16" s="174"/>
      <c r="F16" s="173"/>
      <c r="G16" s="167"/>
      <c r="H16" s="167"/>
      <c r="I16" s="167"/>
      <c r="J16" s="167"/>
      <c r="K16" s="167"/>
      <c r="L16" s="167"/>
      <c r="M16" s="168"/>
      <c r="N16" s="168"/>
      <c r="O16" s="168"/>
      <c r="P16" s="168"/>
      <c r="Q16" s="168"/>
      <c r="R16" s="168"/>
      <c r="S16" s="168"/>
    </row>
    <row r="17" spans="1:19" x14ac:dyDescent="0.25">
      <c r="B17" s="171" t="s">
        <v>221</v>
      </c>
      <c r="C17" s="193" t="s">
        <v>226</v>
      </c>
      <c r="D17" s="190">
        <f>'Расч эксп запасов'!L6</f>
        <v>221381.36767316516</v>
      </c>
      <c r="E17" s="174"/>
      <c r="F17" s="173"/>
      <c r="G17" s="167"/>
      <c r="H17" s="167"/>
      <c r="I17" s="167"/>
      <c r="J17" s="167"/>
      <c r="K17" s="167"/>
      <c r="L17" s="167"/>
      <c r="M17" s="168"/>
      <c r="N17" s="168"/>
      <c r="O17" s="168"/>
      <c r="P17" s="168"/>
      <c r="Q17" s="168"/>
      <c r="R17" s="168"/>
      <c r="S17" s="168"/>
    </row>
    <row r="18" spans="1:19" x14ac:dyDescent="0.25">
      <c r="B18" s="169" t="s">
        <v>222</v>
      </c>
      <c r="C18" s="193" t="s">
        <v>227</v>
      </c>
      <c r="D18" s="190">
        <f>'Расч эксп запасов'!M6</f>
        <v>15013.089446357499</v>
      </c>
      <c r="E18" s="174"/>
      <c r="F18" s="166"/>
      <c r="G18" s="167"/>
      <c r="H18" s="167"/>
      <c r="I18" s="167"/>
      <c r="J18" s="167"/>
      <c r="K18" s="167"/>
      <c r="L18" s="167"/>
      <c r="M18" s="168"/>
      <c r="N18" s="168"/>
      <c r="O18" s="168"/>
      <c r="P18" s="168"/>
      <c r="Q18" s="168"/>
      <c r="R18" s="168"/>
      <c r="S18" s="168"/>
    </row>
    <row r="19" spans="1:19" x14ac:dyDescent="0.25">
      <c r="B19" s="169" t="s">
        <v>224</v>
      </c>
      <c r="C19" s="193" t="s">
        <v>227</v>
      </c>
      <c r="D19" s="190">
        <f>'Расч эксп запасов'!N6</f>
        <v>1703110.9096723897</v>
      </c>
      <c r="E19" s="174"/>
      <c r="F19" s="166"/>
      <c r="G19" s="167"/>
      <c r="H19" s="167"/>
      <c r="I19" s="167"/>
      <c r="J19" s="167"/>
      <c r="K19" s="167"/>
      <c r="L19" s="167"/>
      <c r="M19" s="168"/>
      <c r="N19" s="168"/>
      <c r="O19" s="168"/>
      <c r="P19" s="168"/>
      <c r="Q19" s="168"/>
      <c r="R19" s="168"/>
      <c r="S19" s="168"/>
    </row>
    <row r="20" spans="1:19" x14ac:dyDescent="0.25">
      <c r="B20" s="182" t="s">
        <v>102</v>
      </c>
      <c r="C20" s="168" t="s">
        <v>2</v>
      </c>
      <c r="D20" s="176">
        <f>'Расч эксп запасов'!C11/100</f>
        <v>7.5399999999999995E-2</v>
      </c>
      <c r="E20" s="175"/>
      <c r="F20" s="167"/>
      <c r="G20" s="167"/>
      <c r="H20" s="167"/>
      <c r="I20" s="167"/>
      <c r="J20" s="167"/>
      <c r="K20" s="167"/>
      <c r="L20" s="172"/>
      <c r="M20" s="168"/>
      <c r="N20" s="168"/>
      <c r="O20" s="168"/>
      <c r="P20" s="168"/>
      <c r="Q20" s="168"/>
      <c r="R20" s="168"/>
      <c r="S20" s="168"/>
    </row>
    <row r="21" spans="1:19" x14ac:dyDescent="0.25">
      <c r="B21" s="182" t="s">
        <v>133</v>
      </c>
      <c r="C21" s="168" t="s">
        <v>2</v>
      </c>
      <c r="D21" s="176">
        <f>'Расч эксп запасов'!C16/100</f>
        <v>0.12130000000000001</v>
      </c>
      <c r="E21" s="176"/>
      <c r="F21" s="167"/>
      <c r="G21" s="167"/>
      <c r="H21" s="167"/>
      <c r="I21" s="167"/>
      <c r="J21" s="167"/>
      <c r="K21" s="167"/>
      <c r="L21" s="172"/>
      <c r="M21" s="168"/>
      <c r="N21" s="168"/>
      <c r="O21" s="168"/>
      <c r="P21" s="168"/>
      <c r="Q21" s="168"/>
      <c r="R21" s="168"/>
      <c r="S21" s="168"/>
    </row>
    <row r="22" spans="1:19" x14ac:dyDescent="0.25">
      <c r="B22" s="182" t="s">
        <v>228</v>
      </c>
      <c r="C22" s="193" t="s">
        <v>229</v>
      </c>
      <c r="D22" s="165">
        <f>SUM(F22:S22)</f>
        <v>18655.526000000002</v>
      </c>
      <c r="E22" s="165"/>
      <c r="F22" s="165">
        <f>календари!F6</f>
        <v>1250</v>
      </c>
      <c r="G22" s="165">
        <f>календари!G6</f>
        <v>1300</v>
      </c>
      <c r="H22" s="165">
        <f>календари!H6</f>
        <v>1400</v>
      </c>
      <c r="I22" s="165">
        <f>календари!I6</f>
        <v>1500</v>
      </c>
      <c r="J22" s="165">
        <f>календари!J6</f>
        <v>1500</v>
      </c>
      <c r="K22" s="165">
        <f>календари!K6</f>
        <v>1500</v>
      </c>
      <c r="L22" s="165">
        <f>календари!L6</f>
        <v>1500</v>
      </c>
      <c r="M22" s="165">
        <f>календари!M6</f>
        <v>1500</v>
      </c>
      <c r="N22" s="165">
        <f>календари!N6</f>
        <v>1500</v>
      </c>
      <c r="O22" s="165">
        <f>календари!O6</f>
        <v>1500</v>
      </c>
      <c r="P22" s="165">
        <f>календари!P6</f>
        <v>1500</v>
      </c>
      <c r="Q22" s="165">
        <f>календари!Q6</f>
        <v>1500</v>
      </c>
      <c r="R22" s="165">
        <f>календари!R6</f>
        <v>800</v>
      </c>
      <c r="S22" s="165">
        <f>календари!S6</f>
        <v>405.52600000000001</v>
      </c>
    </row>
    <row r="23" spans="1:19" x14ac:dyDescent="0.25">
      <c r="B23" s="182" t="s">
        <v>230</v>
      </c>
      <c r="C23" s="193"/>
      <c r="D23" s="165"/>
      <c r="E23" s="165"/>
      <c r="F23" s="165"/>
      <c r="G23" s="177"/>
      <c r="H23" s="177"/>
      <c r="I23" s="177"/>
      <c r="J23" s="177"/>
      <c r="K23" s="177"/>
      <c r="L23" s="178"/>
    </row>
    <row r="24" spans="1:19" x14ac:dyDescent="0.25">
      <c r="B24" s="169" t="s">
        <v>219</v>
      </c>
      <c r="C24" s="179" t="s">
        <v>2</v>
      </c>
      <c r="D24" s="180">
        <f>AVERAGE(F24:S24)</f>
        <v>1.8003566342755486</v>
      </c>
      <c r="E24" s="180"/>
      <c r="F24" s="180">
        <f t="shared" ref="F24:S24" si="1">F30/F22/10</f>
        <v>1.800356634275549</v>
      </c>
      <c r="G24" s="180">
        <f t="shared" si="1"/>
        <v>1.800356634275549</v>
      </c>
      <c r="H24" s="180">
        <f t="shared" si="1"/>
        <v>1.800356634275549</v>
      </c>
      <c r="I24" s="180">
        <f t="shared" si="1"/>
        <v>1.800356634275549</v>
      </c>
      <c r="J24" s="180">
        <f t="shared" si="1"/>
        <v>1.800356634275549</v>
      </c>
      <c r="K24" s="180">
        <f t="shared" si="1"/>
        <v>1.800356634275549</v>
      </c>
      <c r="L24" s="180">
        <f t="shared" si="1"/>
        <v>1.800356634275549</v>
      </c>
      <c r="M24" s="180">
        <f t="shared" si="1"/>
        <v>1.800356634275549</v>
      </c>
      <c r="N24" s="180">
        <f t="shared" si="1"/>
        <v>1.800356634275549</v>
      </c>
      <c r="O24" s="180">
        <f t="shared" si="1"/>
        <v>1.800356634275549</v>
      </c>
      <c r="P24" s="180">
        <f t="shared" si="1"/>
        <v>1.800356634275549</v>
      </c>
      <c r="Q24" s="180">
        <f t="shared" si="1"/>
        <v>1.800356634275549</v>
      </c>
      <c r="R24" s="180">
        <f t="shared" si="1"/>
        <v>1.800356634275549</v>
      </c>
      <c r="S24" s="180">
        <f t="shared" si="1"/>
        <v>1.8003566342755488</v>
      </c>
    </row>
    <row r="25" spans="1:19" x14ac:dyDescent="0.25">
      <c r="B25" s="169" t="s">
        <v>220</v>
      </c>
      <c r="C25" s="179" t="s">
        <v>2</v>
      </c>
      <c r="D25" s="180">
        <f t="shared" ref="D25:D28" si="2">AVERAGE(F25:S25)</f>
        <v>3.5521217681023836</v>
      </c>
      <c r="E25" s="180"/>
      <c r="F25" s="180">
        <f t="shared" ref="F25:S25" si="3">F31/F22/10</f>
        <v>3.552121768102384</v>
      </c>
      <c r="G25" s="180">
        <f t="shared" si="3"/>
        <v>3.552121768102384</v>
      </c>
      <c r="H25" s="180">
        <f t="shared" si="3"/>
        <v>3.552121768102384</v>
      </c>
      <c r="I25" s="180">
        <f t="shared" si="3"/>
        <v>3.552121768102384</v>
      </c>
      <c r="J25" s="180">
        <f t="shared" si="3"/>
        <v>3.552121768102384</v>
      </c>
      <c r="K25" s="180">
        <f t="shared" si="3"/>
        <v>3.552121768102384</v>
      </c>
      <c r="L25" s="180">
        <f t="shared" si="3"/>
        <v>3.552121768102384</v>
      </c>
      <c r="M25" s="180">
        <f t="shared" si="3"/>
        <v>3.552121768102384</v>
      </c>
      <c r="N25" s="180">
        <f t="shared" si="3"/>
        <v>3.552121768102384</v>
      </c>
      <c r="O25" s="180">
        <f t="shared" si="3"/>
        <v>3.552121768102384</v>
      </c>
      <c r="P25" s="180">
        <f t="shared" si="3"/>
        <v>3.552121768102384</v>
      </c>
      <c r="Q25" s="180">
        <f t="shared" si="3"/>
        <v>3.552121768102384</v>
      </c>
      <c r="R25" s="180">
        <f t="shared" si="3"/>
        <v>3.552121768102384</v>
      </c>
      <c r="S25" s="180">
        <f t="shared" si="3"/>
        <v>3.552121768102384</v>
      </c>
    </row>
    <row r="26" spans="1:19" x14ac:dyDescent="0.25">
      <c r="A26" s="181"/>
      <c r="B26" s="171" t="s">
        <v>221</v>
      </c>
      <c r="C26" s="179" t="s">
        <v>2</v>
      </c>
      <c r="D26" s="180">
        <f t="shared" si="2"/>
        <v>1.0972030485765989</v>
      </c>
      <c r="E26" s="180"/>
      <c r="F26" s="180">
        <f t="shared" ref="F26:S26" si="4">F32/F22/10</f>
        <v>1.0972030485765987</v>
      </c>
      <c r="G26" s="180">
        <f t="shared" si="4"/>
        <v>1.0972030485765987</v>
      </c>
      <c r="H26" s="180">
        <f t="shared" si="4"/>
        <v>1.0972030485765987</v>
      </c>
      <c r="I26" s="180">
        <f t="shared" si="4"/>
        <v>1.0972030485765987</v>
      </c>
      <c r="J26" s="180">
        <f t="shared" si="4"/>
        <v>1.0972030485765987</v>
      </c>
      <c r="K26" s="180">
        <f t="shared" si="4"/>
        <v>1.0972030485765987</v>
      </c>
      <c r="L26" s="180">
        <f t="shared" si="4"/>
        <v>1.0972030485765987</v>
      </c>
      <c r="M26" s="180">
        <f t="shared" si="4"/>
        <v>1.0972030485765987</v>
      </c>
      <c r="N26" s="180">
        <f t="shared" si="4"/>
        <v>1.0972030485765987</v>
      </c>
      <c r="O26" s="180">
        <f t="shared" si="4"/>
        <v>1.0972030485765987</v>
      </c>
      <c r="P26" s="180">
        <f t="shared" si="4"/>
        <v>1.0972030485765987</v>
      </c>
      <c r="Q26" s="180">
        <f t="shared" si="4"/>
        <v>1.0972030485765987</v>
      </c>
      <c r="R26" s="180">
        <f t="shared" si="4"/>
        <v>1.0972030485765984</v>
      </c>
      <c r="S26" s="180">
        <f t="shared" si="4"/>
        <v>1.0972030485765987</v>
      </c>
    </row>
    <row r="27" spans="1:19" x14ac:dyDescent="0.25">
      <c r="A27" s="181"/>
      <c r="B27" s="169" t="s">
        <v>222</v>
      </c>
      <c r="C27" s="179" t="s">
        <v>223</v>
      </c>
      <c r="D27" s="180">
        <f t="shared" si="2"/>
        <v>0.74406907636911435</v>
      </c>
      <c r="E27" s="180"/>
      <c r="F27" s="180">
        <f t="shared" ref="F27:S27" si="5">F33/F22</f>
        <v>0.74406907636911435</v>
      </c>
      <c r="G27" s="180">
        <f t="shared" si="5"/>
        <v>0.74406907636911435</v>
      </c>
      <c r="H27" s="180">
        <f t="shared" si="5"/>
        <v>0.74406907636911435</v>
      </c>
      <c r="I27" s="180">
        <f t="shared" si="5"/>
        <v>0.74406907636911446</v>
      </c>
      <c r="J27" s="180">
        <f t="shared" si="5"/>
        <v>0.74406907636911446</v>
      </c>
      <c r="K27" s="180">
        <f t="shared" si="5"/>
        <v>0.74406907636911446</v>
      </c>
      <c r="L27" s="180">
        <f t="shared" si="5"/>
        <v>0.74406907636911446</v>
      </c>
      <c r="M27" s="180">
        <f t="shared" si="5"/>
        <v>0.74406907636911446</v>
      </c>
      <c r="N27" s="180">
        <f t="shared" si="5"/>
        <v>0.74406907636911446</v>
      </c>
      <c r="O27" s="180">
        <f t="shared" si="5"/>
        <v>0.74406907636911446</v>
      </c>
      <c r="P27" s="180">
        <f t="shared" si="5"/>
        <v>0.74406907636911446</v>
      </c>
      <c r="Q27" s="180">
        <f t="shared" si="5"/>
        <v>0.74406907636911446</v>
      </c>
      <c r="R27" s="180">
        <f t="shared" si="5"/>
        <v>0.74406907636911424</v>
      </c>
      <c r="S27" s="180">
        <f t="shared" si="5"/>
        <v>0.74406907636911435</v>
      </c>
    </row>
    <row r="28" spans="1:19" x14ac:dyDescent="0.25">
      <c r="A28" s="181"/>
      <c r="B28" s="169" t="s">
        <v>224</v>
      </c>
      <c r="C28" s="179" t="s">
        <v>223</v>
      </c>
      <c r="D28" s="180">
        <f t="shared" si="2"/>
        <v>84.409091440252055</v>
      </c>
      <c r="E28" s="180"/>
      <c r="F28" s="180">
        <f t="shared" ref="F28:S28" si="6">F34/F22</f>
        <v>84.40909144025207</v>
      </c>
      <c r="G28" s="180">
        <f t="shared" si="6"/>
        <v>84.40909144025207</v>
      </c>
      <c r="H28" s="180">
        <f t="shared" si="6"/>
        <v>84.40909144025207</v>
      </c>
      <c r="I28" s="180">
        <f t="shared" si="6"/>
        <v>84.409091440252084</v>
      </c>
      <c r="J28" s="180">
        <f t="shared" si="6"/>
        <v>84.409091440252084</v>
      </c>
      <c r="K28" s="180">
        <f t="shared" si="6"/>
        <v>84.409091440252084</v>
      </c>
      <c r="L28" s="180">
        <f t="shared" si="6"/>
        <v>84.409091440252084</v>
      </c>
      <c r="M28" s="180">
        <f t="shared" si="6"/>
        <v>84.409091440252084</v>
      </c>
      <c r="N28" s="180">
        <f t="shared" si="6"/>
        <v>84.409091440252084</v>
      </c>
      <c r="O28" s="180">
        <f t="shared" si="6"/>
        <v>84.409091440252084</v>
      </c>
      <c r="P28" s="180">
        <f t="shared" si="6"/>
        <v>84.409091440252084</v>
      </c>
      <c r="Q28" s="180">
        <f t="shared" si="6"/>
        <v>84.409091440252084</v>
      </c>
      <c r="R28" s="180">
        <f t="shared" si="6"/>
        <v>84.40909144025207</v>
      </c>
      <c r="S28" s="180">
        <f t="shared" si="6"/>
        <v>84.40909144025207</v>
      </c>
    </row>
    <row r="29" spans="1:19" x14ac:dyDescent="0.25">
      <c r="B29" s="182" t="s">
        <v>543</v>
      </c>
      <c r="C29" s="182"/>
      <c r="D29" s="182"/>
      <c r="E29" s="182"/>
      <c r="F29" s="182"/>
      <c r="G29" s="182"/>
      <c r="H29" s="182"/>
      <c r="I29" s="182"/>
      <c r="J29" s="182"/>
      <c r="K29" s="182"/>
      <c r="L29" s="182"/>
    </row>
    <row r="30" spans="1:19" x14ac:dyDescent="0.25">
      <c r="B30" s="169" t="s">
        <v>219</v>
      </c>
      <c r="C30" s="179" t="s">
        <v>231</v>
      </c>
      <c r="D30" s="165">
        <f t="shared" ref="D30:D34" si="7">SUM(F30:S30)</f>
        <v>335866</v>
      </c>
      <c r="E30" s="183"/>
      <c r="F30" s="183">
        <f>календари!F12*1000</f>
        <v>22504.457928444364</v>
      </c>
      <c r="G30" s="183">
        <f>календари!G12*1000</f>
        <v>23404.63624558214</v>
      </c>
      <c r="H30" s="183">
        <f>календари!H12*1000</f>
        <v>25204.992879857688</v>
      </c>
      <c r="I30" s="183">
        <f>календари!I12*1000</f>
        <v>27005.349514133235</v>
      </c>
      <c r="J30" s="183">
        <f>календари!J12*1000</f>
        <v>27005.349514133235</v>
      </c>
      <c r="K30" s="183">
        <f>календари!K12*1000</f>
        <v>27005.349514133235</v>
      </c>
      <c r="L30" s="183">
        <f>календари!L12*1000</f>
        <v>27005.349514133235</v>
      </c>
      <c r="M30" s="183">
        <f>календари!M12*1000</f>
        <v>27005.349514133235</v>
      </c>
      <c r="N30" s="183">
        <f>календари!N12*1000</f>
        <v>27005.349514133235</v>
      </c>
      <c r="O30" s="183">
        <f>календари!O12*1000</f>
        <v>27005.349514133235</v>
      </c>
      <c r="P30" s="183">
        <f>календари!P12*1000</f>
        <v>27005.349514133235</v>
      </c>
      <c r="Q30" s="183">
        <f>календари!Q12*1000</f>
        <v>27005.349514133235</v>
      </c>
      <c r="R30" s="183">
        <f>календари!R12*1000</f>
        <v>14402.853074204391</v>
      </c>
      <c r="S30" s="183">
        <f>календари!S12*1000</f>
        <v>7300.9142447122622</v>
      </c>
    </row>
    <row r="31" spans="1:19" x14ac:dyDescent="0.25">
      <c r="B31" s="169" t="s">
        <v>220</v>
      </c>
      <c r="C31" s="179" t="s">
        <v>231</v>
      </c>
      <c r="D31" s="165">
        <f t="shared" si="7"/>
        <v>662667</v>
      </c>
      <c r="E31" s="183"/>
      <c r="F31" s="183">
        <f>календари!F13*1000</f>
        <v>44401.522101279799</v>
      </c>
      <c r="G31" s="183">
        <f>календари!G13*1000</f>
        <v>46177.582985330992</v>
      </c>
      <c r="H31" s="183">
        <f>календари!H13*1000</f>
        <v>49729.704753433383</v>
      </c>
      <c r="I31" s="183">
        <f>календари!I13*1000</f>
        <v>53281.826521535761</v>
      </c>
      <c r="J31" s="183">
        <f>календари!J13*1000</f>
        <v>53281.826521535761</v>
      </c>
      <c r="K31" s="183">
        <f>календари!K13*1000</f>
        <v>53281.826521535761</v>
      </c>
      <c r="L31" s="183">
        <f>календари!L13*1000</f>
        <v>53281.826521535761</v>
      </c>
      <c r="M31" s="183">
        <f>календари!M13*1000</f>
        <v>53281.826521535761</v>
      </c>
      <c r="N31" s="183">
        <f>календари!N13*1000</f>
        <v>53281.826521535761</v>
      </c>
      <c r="O31" s="183">
        <f>календари!O13*1000</f>
        <v>53281.826521535761</v>
      </c>
      <c r="P31" s="183">
        <f>календари!P13*1000</f>
        <v>53281.826521535761</v>
      </c>
      <c r="Q31" s="183">
        <f>календари!Q13*1000</f>
        <v>53281.826521535761</v>
      </c>
      <c r="R31" s="183">
        <f>календари!R13*1000</f>
        <v>28416.974144819073</v>
      </c>
      <c r="S31" s="183">
        <f>календари!S13*1000</f>
        <v>14404.777321314874</v>
      </c>
    </row>
    <row r="32" spans="1:19" x14ac:dyDescent="0.25">
      <c r="B32" s="171" t="s">
        <v>221</v>
      </c>
      <c r="C32" s="179" t="s">
        <v>231</v>
      </c>
      <c r="D32" s="165">
        <f t="shared" si="7"/>
        <v>204689</v>
      </c>
      <c r="E32" s="184"/>
      <c r="F32" s="183">
        <f>календари!F14*1000</f>
        <v>13715.038107207483</v>
      </c>
      <c r="G32" s="183">
        <f>календари!G14*1000</f>
        <v>14263.639631495782</v>
      </c>
      <c r="H32" s="183">
        <f>календари!H14*1000</f>
        <v>15360.842680072381</v>
      </c>
      <c r="I32" s="183">
        <f>календари!I14*1000</f>
        <v>16458.04572864898</v>
      </c>
      <c r="J32" s="183">
        <f>календари!J14*1000</f>
        <v>16458.04572864898</v>
      </c>
      <c r="K32" s="183">
        <f>календари!K14*1000</f>
        <v>16458.04572864898</v>
      </c>
      <c r="L32" s="183">
        <f>календари!L14*1000</f>
        <v>16458.04572864898</v>
      </c>
      <c r="M32" s="183">
        <f>календари!M14*1000</f>
        <v>16458.04572864898</v>
      </c>
      <c r="N32" s="183">
        <f>календари!N14*1000</f>
        <v>16458.04572864898</v>
      </c>
      <c r="O32" s="183">
        <f>календари!O14*1000</f>
        <v>16458.04572864898</v>
      </c>
      <c r="P32" s="183">
        <f>календари!P14*1000</f>
        <v>16458.04572864898</v>
      </c>
      <c r="Q32" s="183">
        <f>календари!Q14*1000</f>
        <v>16458.04572864898</v>
      </c>
      <c r="R32" s="183">
        <f>календари!R14*1000</f>
        <v>8777.6243886127868</v>
      </c>
      <c r="S32" s="183">
        <f>календари!S14*1000</f>
        <v>4449.4436347707369</v>
      </c>
    </row>
    <row r="33" spans="2:19" x14ac:dyDescent="0.25">
      <c r="B33" s="169" t="s">
        <v>222</v>
      </c>
      <c r="C33" s="185" t="s">
        <v>71</v>
      </c>
      <c r="D33" s="165">
        <f t="shared" si="7"/>
        <v>13880.999999999996</v>
      </c>
      <c r="E33" s="183"/>
      <c r="F33" s="183">
        <f>календари!F15</f>
        <v>930.08634546139297</v>
      </c>
      <c r="G33" s="183">
        <f>календари!G15</f>
        <v>967.28979927984869</v>
      </c>
      <c r="H33" s="183">
        <f>календари!H15</f>
        <v>1041.6967069167601</v>
      </c>
      <c r="I33" s="183">
        <f>календари!I15</f>
        <v>1116.1036145536716</v>
      </c>
      <c r="J33" s="183">
        <f>календари!J15</f>
        <v>1116.1036145536716</v>
      </c>
      <c r="K33" s="183">
        <f>календари!K15</f>
        <v>1116.1036145536716</v>
      </c>
      <c r="L33" s="183">
        <f>календари!L15</f>
        <v>1116.1036145536716</v>
      </c>
      <c r="M33" s="183">
        <f>календари!M15</f>
        <v>1116.1036145536716</v>
      </c>
      <c r="N33" s="183">
        <f>календари!N15</f>
        <v>1116.1036145536716</v>
      </c>
      <c r="O33" s="183">
        <f>календари!O15</f>
        <v>1116.1036145536716</v>
      </c>
      <c r="P33" s="183">
        <f>календари!P15</f>
        <v>1116.1036145536716</v>
      </c>
      <c r="Q33" s="183">
        <f>календари!Q15</f>
        <v>1116.1036145536716</v>
      </c>
      <c r="R33" s="183">
        <f>календари!R15</f>
        <v>595.25526109529142</v>
      </c>
      <c r="S33" s="183">
        <f>календари!S15</f>
        <v>301.73935626366148</v>
      </c>
    </row>
    <row r="34" spans="2:19" x14ac:dyDescent="0.25">
      <c r="B34" s="169" t="s">
        <v>224</v>
      </c>
      <c r="C34" s="186" t="s">
        <v>71</v>
      </c>
      <c r="D34" s="165">
        <f t="shared" si="7"/>
        <v>1574695.9999999998</v>
      </c>
      <c r="E34" s="183"/>
      <c r="F34" s="183">
        <f>календари!F16</f>
        <v>105511.36430031509</v>
      </c>
      <c r="G34" s="183">
        <f>календари!G16</f>
        <v>109731.8188723277</v>
      </c>
      <c r="H34" s="183">
        <f>календари!H16</f>
        <v>118172.72801635291</v>
      </c>
      <c r="I34" s="183">
        <f>календари!I16</f>
        <v>126613.63716037812</v>
      </c>
      <c r="J34" s="183">
        <f>календари!J16</f>
        <v>126613.63716037812</v>
      </c>
      <c r="K34" s="183">
        <f>календари!K16</f>
        <v>126613.63716037812</v>
      </c>
      <c r="L34" s="183">
        <f>календари!L16</f>
        <v>126613.63716037812</v>
      </c>
      <c r="M34" s="183">
        <f>календари!M16</f>
        <v>126613.63716037812</v>
      </c>
      <c r="N34" s="183">
        <f>календари!N16</f>
        <v>126613.63716037812</v>
      </c>
      <c r="O34" s="183">
        <f>календари!O16</f>
        <v>126613.63716037812</v>
      </c>
      <c r="P34" s="183">
        <f>календари!P16</f>
        <v>126613.63716037812</v>
      </c>
      <c r="Q34" s="183">
        <f>календари!Q16</f>
        <v>126613.63716037812</v>
      </c>
      <c r="R34" s="183">
        <f>календари!R16</f>
        <v>67527.273152201655</v>
      </c>
      <c r="S34" s="183">
        <f>календари!S16</f>
        <v>34230.081215399659</v>
      </c>
    </row>
    <row r="35" spans="2:19" x14ac:dyDescent="0.25">
      <c r="B35" s="564" t="s">
        <v>232</v>
      </c>
      <c r="C35" s="187"/>
      <c r="D35" s="165"/>
      <c r="E35" s="165"/>
      <c r="F35" s="172"/>
      <c r="G35" s="183"/>
      <c r="H35" s="183"/>
      <c r="I35" s="183"/>
      <c r="J35" s="183"/>
      <c r="K35" s="183"/>
      <c r="L35" s="183"/>
      <c r="M35" s="168"/>
      <c r="N35" s="168"/>
      <c r="O35" s="168"/>
      <c r="P35" s="168"/>
      <c r="Q35" s="168"/>
      <c r="R35" s="168"/>
      <c r="S35" s="168"/>
    </row>
    <row r="36" spans="2:19" x14ac:dyDescent="0.25">
      <c r="B36" s="182" t="s">
        <v>233</v>
      </c>
      <c r="C36" s="572" t="s">
        <v>229</v>
      </c>
      <c r="D36" s="165">
        <f t="shared" ref="D36" si="8">SUM(F36:S36)</f>
        <v>18655.526000000002</v>
      </c>
      <c r="E36" s="165"/>
      <c r="F36" s="172">
        <f>F22</f>
        <v>1250</v>
      </c>
      <c r="G36" s="172">
        <f t="shared" ref="G36:S36" si="9">G22</f>
        <v>1300</v>
      </c>
      <c r="H36" s="172">
        <f t="shared" si="9"/>
        <v>1400</v>
      </c>
      <c r="I36" s="172">
        <f t="shared" si="9"/>
        <v>1500</v>
      </c>
      <c r="J36" s="172">
        <f t="shared" si="9"/>
        <v>1500</v>
      </c>
      <c r="K36" s="172">
        <f t="shared" si="9"/>
        <v>1500</v>
      </c>
      <c r="L36" s="172">
        <f t="shared" si="9"/>
        <v>1500</v>
      </c>
      <c r="M36" s="172">
        <f t="shared" si="9"/>
        <v>1500</v>
      </c>
      <c r="N36" s="172">
        <f t="shared" si="9"/>
        <v>1500</v>
      </c>
      <c r="O36" s="172">
        <f t="shared" si="9"/>
        <v>1500</v>
      </c>
      <c r="P36" s="172">
        <f t="shared" si="9"/>
        <v>1500</v>
      </c>
      <c r="Q36" s="172">
        <f t="shared" si="9"/>
        <v>1500</v>
      </c>
      <c r="R36" s="172">
        <f t="shared" si="9"/>
        <v>800</v>
      </c>
      <c r="S36" s="172">
        <f t="shared" si="9"/>
        <v>405.52600000000001</v>
      </c>
    </row>
    <row r="37" spans="2:19" x14ac:dyDescent="0.25">
      <c r="B37" s="573" t="s">
        <v>234</v>
      </c>
      <c r="C37" s="574"/>
      <c r="D37" s="165"/>
      <c r="E37" s="165"/>
      <c r="F37" s="172"/>
      <c r="G37" s="172"/>
      <c r="H37" s="172"/>
      <c r="I37" s="172"/>
      <c r="J37" s="172"/>
      <c r="K37" s="172"/>
      <c r="L37" s="172"/>
      <c r="M37" s="168"/>
      <c r="N37" s="168"/>
      <c r="O37" s="168"/>
      <c r="P37" s="168"/>
      <c r="Q37" s="168"/>
      <c r="R37" s="168"/>
      <c r="S37" s="168"/>
    </row>
    <row r="38" spans="2:19" x14ac:dyDescent="0.25">
      <c r="B38" s="188" t="s">
        <v>235</v>
      </c>
      <c r="C38" s="572" t="s">
        <v>2</v>
      </c>
      <c r="D38" s="575">
        <f>'Данные по переработке'!B3/100</f>
        <v>7.1500000000000008E-2</v>
      </c>
      <c r="E38" s="575"/>
      <c r="F38" s="575">
        <f>$D$38</f>
        <v>7.1500000000000008E-2</v>
      </c>
      <c r="G38" s="575">
        <f t="shared" ref="G38:S38" si="10">$D$38</f>
        <v>7.1500000000000008E-2</v>
      </c>
      <c r="H38" s="575">
        <f t="shared" si="10"/>
        <v>7.1500000000000008E-2</v>
      </c>
      <c r="I38" s="575">
        <f t="shared" si="10"/>
        <v>7.1500000000000008E-2</v>
      </c>
      <c r="J38" s="575">
        <f t="shared" si="10"/>
        <v>7.1500000000000008E-2</v>
      </c>
      <c r="K38" s="575">
        <f t="shared" si="10"/>
        <v>7.1500000000000008E-2</v>
      </c>
      <c r="L38" s="575">
        <f t="shared" si="10"/>
        <v>7.1500000000000008E-2</v>
      </c>
      <c r="M38" s="575">
        <f t="shared" si="10"/>
        <v>7.1500000000000008E-2</v>
      </c>
      <c r="N38" s="575">
        <f t="shared" si="10"/>
        <v>7.1500000000000008E-2</v>
      </c>
      <c r="O38" s="575">
        <f t="shared" si="10"/>
        <v>7.1500000000000008E-2</v>
      </c>
      <c r="P38" s="575">
        <f t="shared" si="10"/>
        <v>7.1500000000000008E-2</v>
      </c>
      <c r="Q38" s="575">
        <f t="shared" si="10"/>
        <v>7.1500000000000008E-2</v>
      </c>
      <c r="R38" s="575">
        <f t="shared" si="10"/>
        <v>7.1500000000000008E-2</v>
      </c>
      <c r="S38" s="575">
        <f t="shared" si="10"/>
        <v>7.1500000000000008E-2</v>
      </c>
    </row>
    <row r="39" spans="2:19" x14ac:dyDescent="0.25">
      <c r="B39" s="188" t="s">
        <v>352</v>
      </c>
      <c r="C39" s="572" t="s">
        <v>2</v>
      </c>
      <c r="D39" s="575">
        <f>'Данные по переработке'!B4/100</f>
        <v>2.0199999999999999E-2</v>
      </c>
      <c r="E39" s="575"/>
      <c r="F39" s="575">
        <f>$D$39</f>
        <v>2.0199999999999999E-2</v>
      </c>
      <c r="G39" s="575">
        <f t="shared" ref="G39:S39" si="11">$D$39</f>
        <v>2.0199999999999999E-2</v>
      </c>
      <c r="H39" s="575">
        <f t="shared" si="11"/>
        <v>2.0199999999999999E-2</v>
      </c>
      <c r="I39" s="575">
        <f t="shared" si="11"/>
        <v>2.0199999999999999E-2</v>
      </c>
      <c r="J39" s="575">
        <f t="shared" si="11"/>
        <v>2.0199999999999999E-2</v>
      </c>
      <c r="K39" s="575">
        <f t="shared" si="11"/>
        <v>2.0199999999999999E-2</v>
      </c>
      <c r="L39" s="575">
        <f t="shared" si="11"/>
        <v>2.0199999999999999E-2</v>
      </c>
      <c r="M39" s="575">
        <f t="shared" si="11"/>
        <v>2.0199999999999999E-2</v>
      </c>
      <c r="N39" s="575">
        <f t="shared" si="11"/>
        <v>2.0199999999999999E-2</v>
      </c>
      <c r="O39" s="575">
        <f t="shared" si="11"/>
        <v>2.0199999999999999E-2</v>
      </c>
      <c r="P39" s="575">
        <f t="shared" si="11"/>
        <v>2.0199999999999999E-2</v>
      </c>
      <c r="Q39" s="575">
        <f t="shared" si="11"/>
        <v>2.0199999999999999E-2</v>
      </c>
      <c r="R39" s="575">
        <f t="shared" si="11"/>
        <v>2.0199999999999999E-2</v>
      </c>
      <c r="S39" s="575">
        <f t="shared" si="11"/>
        <v>2.0199999999999999E-2</v>
      </c>
    </row>
    <row r="40" spans="2:19" x14ac:dyDescent="0.25">
      <c r="B40" s="188" t="s">
        <v>236</v>
      </c>
      <c r="C40" s="572" t="s">
        <v>2</v>
      </c>
      <c r="D40" s="575">
        <f>'Данные по переработке'!B5/100</f>
        <v>8.14E-2</v>
      </c>
      <c r="E40" s="575"/>
      <c r="F40" s="575">
        <f>$D$40</f>
        <v>8.14E-2</v>
      </c>
      <c r="G40" s="575">
        <f t="shared" ref="G40:S40" si="12">$D$40</f>
        <v>8.14E-2</v>
      </c>
      <c r="H40" s="575">
        <f t="shared" si="12"/>
        <v>8.14E-2</v>
      </c>
      <c r="I40" s="575">
        <f t="shared" si="12"/>
        <v>8.14E-2</v>
      </c>
      <c r="J40" s="575">
        <f t="shared" si="12"/>
        <v>8.14E-2</v>
      </c>
      <c r="K40" s="575">
        <f t="shared" si="12"/>
        <v>8.14E-2</v>
      </c>
      <c r="L40" s="575">
        <f t="shared" si="12"/>
        <v>8.14E-2</v>
      </c>
      <c r="M40" s="575">
        <f t="shared" si="12"/>
        <v>8.14E-2</v>
      </c>
      <c r="N40" s="575">
        <f t="shared" si="12"/>
        <v>8.14E-2</v>
      </c>
      <c r="O40" s="575">
        <f t="shared" si="12"/>
        <v>8.14E-2</v>
      </c>
      <c r="P40" s="575">
        <f t="shared" si="12"/>
        <v>8.14E-2</v>
      </c>
      <c r="Q40" s="575">
        <f t="shared" si="12"/>
        <v>8.14E-2</v>
      </c>
      <c r="R40" s="575">
        <f t="shared" si="12"/>
        <v>8.14E-2</v>
      </c>
      <c r="S40" s="575">
        <f t="shared" si="12"/>
        <v>8.14E-2</v>
      </c>
    </row>
    <row r="41" spans="2:19" x14ac:dyDescent="0.25">
      <c r="B41" s="283"/>
      <c r="C41" s="572"/>
      <c r="D41" s="575"/>
      <c r="E41" s="575"/>
      <c r="F41" s="575"/>
      <c r="G41" s="575"/>
      <c r="H41" s="575"/>
      <c r="I41" s="575"/>
      <c r="J41" s="575"/>
      <c r="K41" s="575"/>
      <c r="L41" s="575"/>
      <c r="M41" s="575"/>
      <c r="N41" s="575"/>
      <c r="O41" s="575"/>
      <c r="P41" s="575"/>
      <c r="Q41" s="575"/>
      <c r="R41" s="575"/>
      <c r="S41" s="575"/>
    </row>
    <row r="42" spans="2:19" x14ac:dyDescent="0.25">
      <c r="B42" s="189" t="s">
        <v>237</v>
      </c>
      <c r="C42" s="576"/>
      <c r="D42" s="172"/>
      <c r="E42" s="165"/>
      <c r="F42" s="172"/>
      <c r="G42" s="172"/>
      <c r="H42" s="172"/>
      <c r="I42" s="172"/>
      <c r="J42" s="172"/>
      <c r="K42" s="172"/>
      <c r="L42" s="172"/>
      <c r="M42" s="168"/>
      <c r="N42" s="168"/>
      <c r="O42" s="168"/>
      <c r="P42" s="168"/>
      <c r="Q42" s="168"/>
      <c r="R42" s="168"/>
      <c r="S42" s="168"/>
    </row>
    <row r="43" spans="2:19" x14ac:dyDescent="0.25">
      <c r="B43" s="188" t="s">
        <v>235</v>
      </c>
      <c r="C43" s="187" t="s">
        <v>231</v>
      </c>
      <c r="D43" s="190">
        <f>SUM(F43:S43)</f>
        <v>1333870.1090000002</v>
      </c>
      <c r="E43" s="183"/>
      <c r="F43" s="190">
        <f>F36*1000*F38</f>
        <v>89375.000000000015</v>
      </c>
      <c r="G43" s="190">
        <f>G36*1000*G38</f>
        <v>92950.000000000015</v>
      </c>
      <c r="H43" s="190">
        <f t="shared" ref="H43:S43" si="13">H36*1000*H38</f>
        <v>100100.00000000001</v>
      </c>
      <c r="I43" s="190">
        <f t="shared" si="13"/>
        <v>107250.00000000001</v>
      </c>
      <c r="J43" s="190">
        <f t="shared" si="13"/>
        <v>107250.00000000001</v>
      </c>
      <c r="K43" s="190">
        <f t="shared" si="13"/>
        <v>107250.00000000001</v>
      </c>
      <c r="L43" s="190">
        <f t="shared" si="13"/>
        <v>107250.00000000001</v>
      </c>
      <c r="M43" s="190">
        <f t="shared" si="13"/>
        <v>107250.00000000001</v>
      </c>
      <c r="N43" s="190">
        <f t="shared" si="13"/>
        <v>107250.00000000001</v>
      </c>
      <c r="O43" s="190">
        <f t="shared" si="13"/>
        <v>107250.00000000001</v>
      </c>
      <c r="P43" s="190">
        <f t="shared" si="13"/>
        <v>107250.00000000001</v>
      </c>
      <c r="Q43" s="190">
        <f t="shared" si="13"/>
        <v>107250.00000000001</v>
      </c>
      <c r="R43" s="190">
        <f t="shared" si="13"/>
        <v>57200.000000000007</v>
      </c>
      <c r="S43" s="190">
        <f t="shared" si="13"/>
        <v>28995.109000000004</v>
      </c>
    </row>
    <row r="44" spans="2:19" x14ac:dyDescent="0.25">
      <c r="B44" s="188" t="s">
        <v>352</v>
      </c>
      <c r="C44" s="187" t="s">
        <v>231</v>
      </c>
      <c r="D44" s="190">
        <f t="shared" ref="D44:D45" si="14">SUM(F44:S44)</f>
        <v>376841.62520000001</v>
      </c>
      <c r="E44" s="183"/>
      <c r="F44" s="190">
        <f>F36*1000*F39</f>
        <v>25250</v>
      </c>
      <c r="G44" s="190">
        <f t="shared" ref="G44:S44" si="15">G36*1000*G39</f>
        <v>26260</v>
      </c>
      <c r="H44" s="190">
        <f t="shared" si="15"/>
        <v>28280</v>
      </c>
      <c r="I44" s="190">
        <f t="shared" si="15"/>
        <v>30300</v>
      </c>
      <c r="J44" s="190">
        <f t="shared" si="15"/>
        <v>30300</v>
      </c>
      <c r="K44" s="190">
        <f t="shared" si="15"/>
        <v>30300</v>
      </c>
      <c r="L44" s="190">
        <f t="shared" si="15"/>
        <v>30300</v>
      </c>
      <c r="M44" s="190">
        <f t="shared" si="15"/>
        <v>30300</v>
      </c>
      <c r="N44" s="190">
        <f t="shared" si="15"/>
        <v>30300</v>
      </c>
      <c r="O44" s="190">
        <f t="shared" si="15"/>
        <v>30300</v>
      </c>
      <c r="P44" s="190">
        <f t="shared" si="15"/>
        <v>30300</v>
      </c>
      <c r="Q44" s="190">
        <f t="shared" si="15"/>
        <v>30300</v>
      </c>
      <c r="R44" s="190">
        <f t="shared" si="15"/>
        <v>16160</v>
      </c>
      <c r="S44" s="190">
        <f t="shared" si="15"/>
        <v>8191.6251999999995</v>
      </c>
    </row>
    <row r="45" spans="2:19" x14ac:dyDescent="0.25">
      <c r="B45" s="188" t="s">
        <v>236</v>
      </c>
      <c r="C45" s="187" t="s">
        <v>231</v>
      </c>
      <c r="D45" s="190">
        <f t="shared" si="14"/>
        <v>1518559.8163999999</v>
      </c>
      <c r="E45" s="183"/>
      <c r="F45" s="190">
        <f>F36*1000*F40</f>
        <v>101750</v>
      </c>
      <c r="G45" s="190">
        <f>G36*1000*G40</f>
        <v>105820</v>
      </c>
      <c r="H45" s="190">
        <f t="shared" ref="H45:S45" si="16">H36*1000*H40</f>
        <v>113960</v>
      </c>
      <c r="I45" s="190">
        <f t="shared" si="16"/>
        <v>122100</v>
      </c>
      <c r="J45" s="190">
        <f t="shared" si="16"/>
        <v>122100</v>
      </c>
      <c r="K45" s="190">
        <f t="shared" si="16"/>
        <v>122100</v>
      </c>
      <c r="L45" s="190">
        <f t="shared" si="16"/>
        <v>122100</v>
      </c>
      <c r="M45" s="190">
        <f t="shared" si="16"/>
        <v>122100</v>
      </c>
      <c r="N45" s="190">
        <f t="shared" si="16"/>
        <v>122100</v>
      </c>
      <c r="O45" s="190">
        <f t="shared" si="16"/>
        <v>122100</v>
      </c>
      <c r="P45" s="190">
        <f t="shared" si="16"/>
        <v>122100</v>
      </c>
      <c r="Q45" s="190">
        <f t="shared" si="16"/>
        <v>122100</v>
      </c>
      <c r="R45" s="190">
        <f t="shared" si="16"/>
        <v>65120</v>
      </c>
      <c r="S45" s="190">
        <f t="shared" si="16"/>
        <v>33009.816400000003</v>
      </c>
    </row>
    <row r="46" spans="2:19" x14ac:dyDescent="0.25">
      <c r="B46" s="189" t="s">
        <v>238</v>
      </c>
      <c r="C46" s="577"/>
      <c r="D46" s="123"/>
      <c r="E46" s="191"/>
      <c r="F46" s="123"/>
      <c r="G46" s="167"/>
      <c r="H46" s="167"/>
      <c r="I46" s="167"/>
      <c r="J46" s="167"/>
      <c r="K46" s="167"/>
      <c r="L46" s="170"/>
      <c r="M46" s="168"/>
      <c r="N46" s="168"/>
      <c r="O46" s="168"/>
      <c r="P46" s="168"/>
      <c r="Q46" s="168"/>
      <c r="R46" s="168"/>
      <c r="S46" s="168"/>
    </row>
    <row r="47" spans="2:19" x14ac:dyDescent="0.25">
      <c r="B47" s="192" t="s">
        <v>239</v>
      </c>
      <c r="C47" s="578"/>
      <c r="D47" s="193"/>
      <c r="E47" s="191"/>
      <c r="F47" s="193"/>
      <c r="G47" s="193"/>
      <c r="H47" s="193"/>
      <c r="I47" s="193"/>
      <c r="J47" s="193"/>
      <c r="K47" s="193"/>
      <c r="L47" s="193"/>
      <c r="M47" s="168"/>
      <c r="N47" s="168"/>
      <c r="O47" s="168"/>
      <c r="P47" s="168"/>
      <c r="Q47" s="168"/>
      <c r="R47" s="168"/>
      <c r="S47" s="168"/>
    </row>
    <row r="48" spans="2:19" x14ac:dyDescent="0.25">
      <c r="B48" s="196" t="s">
        <v>219</v>
      </c>
      <c r="C48" s="185" t="s">
        <v>2</v>
      </c>
      <c r="D48" s="176">
        <f>'Данные по переработке'!H3/100</f>
        <v>0.87650000000000006</v>
      </c>
      <c r="E48" s="176"/>
      <c r="F48" s="176">
        <f>D48</f>
        <v>0.87650000000000006</v>
      </c>
      <c r="G48" s="176">
        <f>F48</f>
        <v>0.87650000000000006</v>
      </c>
      <c r="H48" s="176">
        <f t="shared" ref="H48:S48" si="17">G48</f>
        <v>0.87650000000000006</v>
      </c>
      <c r="I48" s="176">
        <f t="shared" si="17"/>
        <v>0.87650000000000006</v>
      </c>
      <c r="J48" s="176">
        <f t="shared" si="17"/>
        <v>0.87650000000000006</v>
      </c>
      <c r="K48" s="176">
        <f t="shared" si="17"/>
        <v>0.87650000000000006</v>
      </c>
      <c r="L48" s="176">
        <f t="shared" si="17"/>
        <v>0.87650000000000006</v>
      </c>
      <c r="M48" s="176">
        <f t="shared" si="17"/>
        <v>0.87650000000000006</v>
      </c>
      <c r="N48" s="176">
        <f t="shared" si="17"/>
        <v>0.87650000000000006</v>
      </c>
      <c r="O48" s="176">
        <f t="shared" si="17"/>
        <v>0.87650000000000006</v>
      </c>
      <c r="P48" s="176">
        <f t="shared" si="17"/>
        <v>0.87650000000000006</v>
      </c>
      <c r="Q48" s="176">
        <f t="shared" si="17"/>
        <v>0.87650000000000006</v>
      </c>
      <c r="R48" s="176">
        <f t="shared" si="17"/>
        <v>0.87650000000000006</v>
      </c>
      <c r="S48" s="176">
        <f t="shared" si="17"/>
        <v>0.87650000000000006</v>
      </c>
    </row>
    <row r="49" spans="2:19" x14ac:dyDescent="0.25">
      <c r="B49" s="196" t="s">
        <v>222</v>
      </c>
      <c r="C49" s="185" t="s">
        <v>2</v>
      </c>
      <c r="D49" s="176">
        <f>'Данные по переработке'!K3/100</f>
        <v>0.49</v>
      </c>
      <c r="E49" s="176"/>
      <c r="F49" s="176">
        <f t="shared" ref="F49:F50" si="18">D49</f>
        <v>0.49</v>
      </c>
      <c r="G49" s="176">
        <f t="shared" ref="G49:S50" si="19">F49</f>
        <v>0.49</v>
      </c>
      <c r="H49" s="176">
        <f t="shared" si="19"/>
        <v>0.49</v>
      </c>
      <c r="I49" s="176">
        <f t="shared" si="19"/>
        <v>0.49</v>
      </c>
      <c r="J49" s="176">
        <f t="shared" si="19"/>
        <v>0.49</v>
      </c>
      <c r="K49" s="176">
        <f t="shared" si="19"/>
        <v>0.49</v>
      </c>
      <c r="L49" s="176">
        <f t="shared" si="19"/>
        <v>0.49</v>
      </c>
      <c r="M49" s="176">
        <f t="shared" si="19"/>
        <v>0.49</v>
      </c>
      <c r="N49" s="176">
        <f t="shared" si="19"/>
        <v>0.49</v>
      </c>
      <c r="O49" s="176">
        <f t="shared" si="19"/>
        <v>0.49</v>
      </c>
      <c r="P49" s="176">
        <f t="shared" si="19"/>
        <v>0.49</v>
      </c>
      <c r="Q49" s="176">
        <f t="shared" si="19"/>
        <v>0.49</v>
      </c>
      <c r="R49" s="176">
        <f t="shared" si="19"/>
        <v>0.49</v>
      </c>
      <c r="S49" s="176">
        <f t="shared" si="19"/>
        <v>0.49</v>
      </c>
    </row>
    <row r="50" spans="2:19" x14ac:dyDescent="0.25">
      <c r="B50" s="196" t="s">
        <v>224</v>
      </c>
      <c r="C50" s="185" t="s">
        <v>2</v>
      </c>
      <c r="D50" s="176">
        <f>'Данные по переработке'!L3/100</f>
        <v>0.5827</v>
      </c>
      <c r="E50" s="176"/>
      <c r="F50" s="176">
        <f t="shared" si="18"/>
        <v>0.5827</v>
      </c>
      <c r="G50" s="176">
        <f t="shared" si="19"/>
        <v>0.5827</v>
      </c>
      <c r="H50" s="176">
        <f t="shared" si="19"/>
        <v>0.5827</v>
      </c>
      <c r="I50" s="176">
        <f t="shared" si="19"/>
        <v>0.5827</v>
      </c>
      <c r="J50" s="176">
        <f t="shared" si="19"/>
        <v>0.5827</v>
      </c>
      <c r="K50" s="176">
        <f t="shared" si="19"/>
        <v>0.5827</v>
      </c>
      <c r="L50" s="176">
        <f t="shared" si="19"/>
        <v>0.5827</v>
      </c>
      <c r="M50" s="176">
        <f t="shared" si="19"/>
        <v>0.5827</v>
      </c>
      <c r="N50" s="176">
        <f t="shared" si="19"/>
        <v>0.5827</v>
      </c>
      <c r="O50" s="176">
        <f t="shared" si="19"/>
        <v>0.5827</v>
      </c>
      <c r="P50" s="176">
        <f t="shared" si="19"/>
        <v>0.5827</v>
      </c>
      <c r="Q50" s="176">
        <f t="shared" si="19"/>
        <v>0.5827</v>
      </c>
      <c r="R50" s="176">
        <f t="shared" si="19"/>
        <v>0.5827</v>
      </c>
      <c r="S50" s="176">
        <f t="shared" si="19"/>
        <v>0.5827</v>
      </c>
    </row>
    <row r="51" spans="2:19" x14ac:dyDescent="0.25">
      <c r="B51" s="195" t="s">
        <v>353</v>
      </c>
      <c r="C51" s="578"/>
      <c r="D51" s="193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R51" s="176"/>
      <c r="S51" s="176"/>
    </row>
    <row r="52" spans="2:19" x14ac:dyDescent="0.25">
      <c r="B52" s="196" t="s">
        <v>221</v>
      </c>
      <c r="C52" s="185" t="s">
        <v>2</v>
      </c>
      <c r="D52" s="176">
        <f>'Данные по переработке'!I4/100</f>
        <v>0.65239999999999998</v>
      </c>
      <c r="E52" s="176"/>
      <c r="F52" s="176">
        <f>D52</f>
        <v>0.65239999999999998</v>
      </c>
      <c r="G52" s="176">
        <f>F52</f>
        <v>0.65239999999999998</v>
      </c>
      <c r="H52" s="176">
        <f t="shared" ref="H52:S53" si="20">G52</f>
        <v>0.65239999999999998</v>
      </c>
      <c r="I52" s="176">
        <f t="shared" si="20"/>
        <v>0.65239999999999998</v>
      </c>
      <c r="J52" s="176">
        <f t="shared" si="20"/>
        <v>0.65239999999999998</v>
      </c>
      <c r="K52" s="176">
        <f t="shared" si="20"/>
        <v>0.65239999999999998</v>
      </c>
      <c r="L52" s="176">
        <f t="shared" si="20"/>
        <v>0.65239999999999998</v>
      </c>
      <c r="M52" s="176">
        <f t="shared" si="20"/>
        <v>0.65239999999999998</v>
      </c>
      <c r="N52" s="176">
        <f t="shared" si="20"/>
        <v>0.65239999999999998</v>
      </c>
      <c r="O52" s="176">
        <f t="shared" si="20"/>
        <v>0.65239999999999998</v>
      </c>
      <c r="P52" s="176">
        <f t="shared" si="20"/>
        <v>0.65239999999999998</v>
      </c>
      <c r="Q52" s="176">
        <f t="shared" si="20"/>
        <v>0.65239999999999998</v>
      </c>
      <c r="R52" s="176">
        <f t="shared" si="20"/>
        <v>0.65239999999999998</v>
      </c>
      <c r="S52" s="176">
        <f t="shared" si="20"/>
        <v>0.65239999999999998</v>
      </c>
    </row>
    <row r="53" spans="2:19" x14ac:dyDescent="0.25">
      <c r="B53" s="196" t="s">
        <v>222</v>
      </c>
      <c r="C53" s="185" t="s">
        <v>2</v>
      </c>
      <c r="D53" s="176">
        <f>'Данные по переработке'!K4/100</f>
        <v>0.1404</v>
      </c>
      <c r="F53" s="176">
        <f>D53</f>
        <v>0.1404</v>
      </c>
      <c r="G53" s="176">
        <f>F53</f>
        <v>0.1404</v>
      </c>
      <c r="H53" s="176">
        <f t="shared" si="20"/>
        <v>0.1404</v>
      </c>
      <c r="I53" s="176">
        <f t="shared" si="20"/>
        <v>0.1404</v>
      </c>
      <c r="J53" s="176">
        <f t="shared" si="20"/>
        <v>0.1404</v>
      </c>
      <c r="K53" s="176">
        <f t="shared" si="20"/>
        <v>0.1404</v>
      </c>
      <c r="L53" s="176">
        <f t="shared" si="20"/>
        <v>0.1404</v>
      </c>
      <c r="M53" s="176">
        <f t="shared" si="20"/>
        <v>0.1404</v>
      </c>
      <c r="N53" s="176">
        <f t="shared" si="20"/>
        <v>0.1404</v>
      </c>
      <c r="O53" s="176">
        <f t="shared" si="20"/>
        <v>0.1404</v>
      </c>
      <c r="P53" s="176">
        <f t="shared" si="20"/>
        <v>0.1404</v>
      </c>
      <c r="Q53" s="176">
        <f t="shared" si="20"/>
        <v>0.1404</v>
      </c>
      <c r="R53" s="176">
        <f t="shared" si="20"/>
        <v>0.1404</v>
      </c>
      <c r="S53" s="176">
        <f t="shared" si="20"/>
        <v>0.1404</v>
      </c>
    </row>
    <row r="54" spans="2:19" x14ac:dyDescent="0.25">
      <c r="B54" s="196" t="s">
        <v>224</v>
      </c>
      <c r="C54" s="185" t="s">
        <v>2</v>
      </c>
      <c r="D54" s="176">
        <f>'Данные по переработке'!L4/100</f>
        <v>9.3000000000000013E-2</v>
      </c>
      <c r="E54" s="176"/>
      <c r="F54" s="176">
        <f t="shared" ref="F54" si="21">D54</f>
        <v>9.3000000000000013E-2</v>
      </c>
      <c r="G54" s="176">
        <f t="shared" ref="G54:S54" si="22">F54</f>
        <v>9.3000000000000013E-2</v>
      </c>
      <c r="H54" s="176">
        <f t="shared" si="22"/>
        <v>9.3000000000000013E-2</v>
      </c>
      <c r="I54" s="176">
        <f t="shared" si="22"/>
        <v>9.3000000000000013E-2</v>
      </c>
      <c r="J54" s="176">
        <f t="shared" si="22"/>
        <v>9.3000000000000013E-2</v>
      </c>
      <c r="K54" s="176">
        <f t="shared" si="22"/>
        <v>9.3000000000000013E-2</v>
      </c>
      <c r="L54" s="176">
        <f t="shared" si="22"/>
        <v>9.3000000000000013E-2</v>
      </c>
      <c r="M54" s="176">
        <f t="shared" si="22"/>
        <v>9.3000000000000013E-2</v>
      </c>
      <c r="N54" s="176">
        <f t="shared" si="22"/>
        <v>9.3000000000000013E-2</v>
      </c>
      <c r="O54" s="176">
        <f t="shared" si="22"/>
        <v>9.3000000000000013E-2</v>
      </c>
      <c r="P54" s="176">
        <f t="shared" si="22"/>
        <v>9.3000000000000013E-2</v>
      </c>
      <c r="Q54" s="176">
        <f t="shared" si="22"/>
        <v>9.3000000000000013E-2</v>
      </c>
      <c r="R54" s="176">
        <f t="shared" si="22"/>
        <v>9.3000000000000013E-2</v>
      </c>
      <c r="S54" s="176">
        <f t="shared" si="22"/>
        <v>9.3000000000000013E-2</v>
      </c>
    </row>
    <row r="55" spans="2:19" x14ac:dyDescent="0.25">
      <c r="B55" s="195" t="s">
        <v>240</v>
      </c>
      <c r="C55" s="578"/>
      <c r="D55" s="176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  <c r="R55" s="176"/>
      <c r="S55" s="176"/>
    </row>
    <row r="56" spans="2:19" x14ac:dyDescent="0.25">
      <c r="B56" s="196" t="s">
        <v>220</v>
      </c>
      <c r="C56" s="185" t="s">
        <v>2</v>
      </c>
      <c r="D56" s="176">
        <f>'Данные по переработке'!J5/100</f>
        <v>0.85040000000000004</v>
      </c>
      <c r="E56" s="176"/>
      <c r="F56" s="176">
        <f>D56</f>
        <v>0.85040000000000004</v>
      </c>
      <c r="G56" s="176">
        <f>F56</f>
        <v>0.85040000000000004</v>
      </c>
      <c r="H56" s="176">
        <f t="shared" ref="H56:S56" si="23">G56</f>
        <v>0.85040000000000004</v>
      </c>
      <c r="I56" s="176">
        <f t="shared" si="23"/>
        <v>0.85040000000000004</v>
      </c>
      <c r="J56" s="176">
        <f t="shared" si="23"/>
        <v>0.85040000000000004</v>
      </c>
      <c r="K56" s="176">
        <f t="shared" si="23"/>
        <v>0.85040000000000004</v>
      </c>
      <c r="L56" s="176">
        <f t="shared" si="23"/>
        <v>0.85040000000000004</v>
      </c>
      <c r="M56" s="176">
        <f t="shared" si="23"/>
        <v>0.85040000000000004</v>
      </c>
      <c r="N56" s="176">
        <f t="shared" si="23"/>
        <v>0.85040000000000004</v>
      </c>
      <c r="O56" s="176">
        <f t="shared" si="23"/>
        <v>0.85040000000000004</v>
      </c>
      <c r="P56" s="176">
        <f t="shared" si="23"/>
        <v>0.85040000000000004</v>
      </c>
      <c r="Q56" s="176">
        <f t="shared" si="23"/>
        <v>0.85040000000000004</v>
      </c>
      <c r="R56" s="176">
        <f t="shared" si="23"/>
        <v>0.85040000000000004</v>
      </c>
      <c r="S56" s="176">
        <f t="shared" si="23"/>
        <v>0.85040000000000004</v>
      </c>
    </row>
    <row r="57" spans="2:19" x14ac:dyDescent="0.25">
      <c r="B57" s="196" t="s">
        <v>224</v>
      </c>
      <c r="C57" s="185" t="s">
        <v>2</v>
      </c>
      <c r="D57" s="176">
        <f>'Данные по переработке'!L5/100</f>
        <v>0.1115</v>
      </c>
      <c r="E57" s="176"/>
      <c r="F57" s="176">
        <f t="shared" ref="F57" si="24">D57</f>
        <v>0.1115</v>
      </c>
      <c r="G57" s="176">
        <f t="shared" ref="G57:S57" si="25">F57</f>
        <v>0.1115</v>
      </c>
      <c r="H57" s="176">
        <f t="shared" si="25"/>
        <v>0.1115</v>
      </c>
      <c r="I57" s="176">
        <f t="shared" si="25"/>
        <v>0.1115</v>
      </c>
      <c r="J57" s="176">
        <f t="shared" si="25"/>
        <v>0.1115</v>
      </c>
      <c r="K57" s="176">
        <f t="shared" si="25"/>
        <v>0.1115</v>
      </c>
      <c r="L57" s="176">
        <f t="shared" si="25"/>
        <v>0.1115</v>
      </c>
      <c r="M57" s="176">
        <f t="shared" si="25"/>
        <v>0.1115</v>
      </c>
      <c r="N57" s="176">
        <f t="shared" si="25"/>
        <v>0.1115</v>
      </c>
      <c r="O57" s="176">
        <f t="shared" si="25"/>
        <v>0.1115</v>
      </c>
      <c r="P57" s="176">
        <f t="shared" si="25"/>
        <v>0.1115</v>
      </c>
      <c r="Q57" s="176">
        <f t="shared" si="25"/>
        <v>0.1115</v>
      </c>
      <c r="R57" s="176">
        <f t="shared" si="25"/>
        <v>0.1115</v>
      </c>
      <c r="S57" s="176">
        <f t="shared" si="25"/>
        <v>0.1115</v>
      </c>
    </row>
    <row r="58" spans="2:19" x14ac:dyDescent="0.25">
      <c r="B58" s="194" t="s">
        <v>241</v>
      </c>
      <c r="C58" s="572"/>
      <c r="D58" s="172"/>
      <c r="E58" s="172"/>
      <c r="F58" s="172"/>
      <c r="G58" s="172"/>
      <c r="H58" s="172"/>
      <c r="I58" s="172"/>
      <c r="J58" s="172"/>
      <c r="K58" s="172"/>
      <c r="L58" s="172"/>
      <c r="M58" s="168"/>
      <c r="N58" s="168"/>
      <c r="O58" s="168"/>
      <c r="P58" s="168"/>
      <c r="Q58" s="168"/>
      <c r="R58" s="168"/>
      <c r="S58" s="168"/>
    </row>
    <row r="59" spans="2:19" x14ac:dyDescent="0.25">
      <c r="B59" s="195" t="s">
        <v>242</v>
      </c>
      <c r="C59" s="578"/>
      <c r="D59" s="170"/>
      <c r="E59" s="170"/>
      <c r="F59" s="123"/>
      <c r="G59" s="167"/>
      <c r="H59" s="167"/>
      <c r="I59" s="167"/>
      <c r="J59" s="167"/>
      <c r="K59" s="167"/>
      <c r="L59" s="170"/>
      <c r="M59" s="168"/>
      <c r="N59" s="168"/>
      <c r="O59" s="168"/>
      <c r="P59" s="168"/>
      <c r="Q59" s="168"/>
      <c r="R59" s="168"/>
      <c r="S59" s="168"/>
    </row>
    <row r="60" spans="2:19" x14ac:dyDescent="0.25">
      <c r="B60" s="196" t="s">
        <v>219</v>
      </c>
      <c r="C60" s="185" t="s">
        <v>231</v>
      </c>
      <c r="D60" s="165">
        <f t="shared" ref="D60:D69" si="26">SUM(F60:S60)</f>
        <v>294386.549</v>
      </c>
      <c r="E60" s="183"/>
      <c r="F60" s="190">
        <f t="shared" ref="F60:S60" si="27">F30*F48</f>
        <v>19725.157374281487</v>
      </c>
      <c r="G60" s="190">
        <f t="shared" si="27"/>
        <v>20514.163669252746</v>
      </c>
      <c r="H60" s="190">
        <f t="shared" si="27"/>
        <v>22092.176259195265</v>
      </c>
      <c r="I60" s="190">
        <f t="shared" si="27"/>
        <v>23670.188849137783</v>
      </c>
      <c r="J60" s="190">
        <f t="shared" si="27"/>
        <v>23670.188849137783</v>
      </c>
      <c r="K60" s="190">
        <f t="shared" si="27"/>
        <v>23670.188849137783</v>
      </c>
      <c r="L60" s="190">
        <f t="shared" si="27"/>
        <v>23670.188849137783</v>
      </c>
      <c r="M60" s="190">
        <f t="shared" si="27"/>
        <v>23670.188849137783</v>
      </c>
      <c r="N60" s="190">
        <f t="shared" si="27"/>
        <v>23670.188849137783</v>
      </c>
      <c r="O60" s="190">
        <f t="shared" si="27"/>
        <v>23670.188849137783</v>
      </c>
      <c r="P60" s="190">
        <f t="shared" si="27"/>
        <v>23670.188849137783</v>
      </c>
      <c r="Q60" s="190">
        <f t="shared" si="27"/>
        <v>23670.188849137783</v>
      </c>
      <c r="R60" s="190">
        <f t="shared" si="27"/>
        <v>12624.100719540149</v>
      </c>
      <c r="S60" s="190">
        <f t="shared" si="27"/>
        <v>6399.2513354902985</v>
      </c>
    </row>
    <row r="61" spans="2:19" x14ac:dyDescent="0.25">
      <c r="B61" s="196" t="s">
        <v>222</v>
      </c>
      <c r="C61" s="185" t="s">
        <v>71</v>
      </c>
      <c r="D61" s="165">
        <f t="shared" si="26"/>
        <v>6801.6899999999987</v>
      </c>
      <c r="E61" s="183"/>
      <c r="F61" s="190">
        <f t="shared" ref="F61:S61" si="28">F33*F49</f>
        <v>455.74230927608255</v>
      </c>
      <c r="G61" s="190">
        <f t="shared" si="28"/>
        <v>473.97200164712586</v>
      </c>
      <c r="H61" s="190">
        <f t="shared" si="28"/>
        <v>510.43138638921249</v>
      </c>
      <c r="I61" s="190">
        <f t="shared" si="28"/>
        <v>546.89077113129906</v>
      </c>
      <c r="J61" s="190">
        <f t="shared" si="28"/>
        <v>546.89077113129906</v>
      </c>
      <c r="K61" s="190">
        <f t="shared" si="28"/>
        <v>546.89077113129906</v>
      </c>
      <c r="L61" s="190">
        <f t="shared" si="28"/>
        <v>546.89077113129906</v>
      </c>
      <c r="M61" s="190">
        <f t="shared" si="28"/>
        <v>546.89077113129906</v>
      </c>
      <c r="N61" s="190">
        <f t="shared" si="28"/>
        <v>546.89077113129906</v>
      </c>
      <c r="O61" s="190">
        <f t="shared" si="28"/>
        <v>546.89077113129906</v>
      </c>
      <c r="P61" s="190">
        <f t="shared" si="28"/>
        <v>546.89077113129906</v>
      </c>
      <c r="Q61" s="190">
        <f t="shared" si="28"/>
        <v>546.89077113129906</v>
      </c>
      <c r="R61" s="190">
        <f t="shared" si="28"/>
        <v>291.67507793669279</v>
      </c>
      <c r="S61" s="190">
        <f t="shared" si="28"/>
        <v>147.85228456919413</v>
      </c>
    </row>
    <row r="62" spans="2:19" x14ac:dyDescent="0.25">
      <c r="B62" s="196" t="s">
        <v>224</v>
      </c>
      <c r="C62" s="185" t="s">
        <v>71</v>
      </c>
      <c r="D62" s="165">
        <f t="shared" si="26"/>
        <v>917575.3592000003</v>
      </c>
      <c r="E62" s="183"/>
      <c r="F62" s="190">
        <f t="shared" ref="F62:S62" si="29">F34*F50</f>
        <v>61481.471977793604</v>
      </c>
      <c r="G62" s="190">
        <f t="shared" si="29"/>
        <v>63940.730856905349</v>
      </c>
      <c r="H62" s="190">
        <f t="shared" si="29"/>
        <v>68859.248615128832</v>
      </c>
      <c r="I62" s="190">
        <f t="shared" si="29"/>
        <v>73777.766373352322</v>
      </c>
      <c r="J62" s="190">
        <f t="shared" si="29"/>
        <v>73777.766373352322</v>
      </c>
      <c r="K62" s="190">
        <f t="shared" si="29"/>
        <v>73777.766373352322</v>
      </c>
      <c r="L62" s="190">
        <f t="shared" si="29"/>
        <v>73777.766373352322</v>
      </c>
      <c r="M62" s="190">
        <f t="shared" si="29"/>
        <v>73777.766373352322</v>
      </c>
      <c r="N62" s="190">
        <f t="shared" si="29"/>
        <v>73777.766373352322</v>
      </c>
      <c r="O62" s="190">
        <f t="shared" si="29"/>
        <v>73777.766373352322</v>
      </c>
      <c r="P62" s="190">
        <f t="shared" si="29"/>
        <v>73777.766373352322</v>
      </c>
      <c r="Q62" s="190">
        <f t="shared" si="29"/>
        <v>73777.766373352322</v>
      </c>
      <c r="R62" s="190">
        <f t="shared" si="29"/>
        <v>39348.142065787906</v>
      </c>
      <c r="S62" s="190">
        <f t="shared" si="29"/>
        <v>19945.868324213381</v>
      </c>
    </row>
    <row r="63" spans="2:19" x14ac:dyDescent="0.25">
      <c r="B63" s="195" t="s">
        <v>354</v>
      </c>
      <c r="C63" s="578"/>
      <c r="D63" s="165"/>
      <c r="E63" s="183"/>
      <c r="F63" s="190"/>
      <c r="G63" s="190"/>
      <c r="H63" s="190"/>
      <c r="I63" s="190"/>
      <c r="J63" s="190"/>
      <c r="K63" s="190"/>
      <c r="L63" s="190"/>
      <c r="M63" s="190"/>
      <c r="N63" s="190"/>
      <c r="O63" s="190"/>
      <c r="P63" s="190"/>
      <c r="Q63" s="190"/>
      <c r="R63" s="190"/>
      <c r="S63" s="190"/>
    </row>
    <row r="64" spans="2:19" x14ac:dyDescent="0.25">
      <c r="B64" s="196" t="s">
        <v>221</v>
      </c>
      <c r="C64" s="185" t="s">
        <v>231</v>
      </c>
      <c r="D64" s="165">
        <f t="shared" si="26"/>
        <v>133539.10359999997</v>
      </c>
      <c r="E64" s="183"/>
      <c r="F64" s="190">
        <f>F32*F52</f>
        <v>8947.6908611421622</v>
      </c>
      <c r="G64" s="190">
        <f t="shared" ref="G64:S64" si="30">G32*G52</f>
        <v>9305.5984955878484</v>
      </c>
      <c r="H64" s="190">
        <f t="shared" si="30"/>
        <v>10021.413764479221</v>
      </c>
      <c r="I64" s="190">
        <f t="shared" si="30"/>
        <v>10737.229033370595</v>
      </c>
      <c r="J64" s="190">
        <f t="shared" si="30"/>
        <v>10737.229033370595</v>
      </c>
      <c r="K64" s="190">
        <f t="shared" si="30"/>
        <v>10737.229033370595</v>
      </c>
      <c r="L64" s="190">
        <f t="shared" si="30"/>
        <v>10737.229033370595</v>
      </c>
      <c r="M64" s="190">
        <f t="shared" si="30"/>
        <v>10737.229033370595</v>
      </c>
      <c r="N64" s="190">
        <f t="shared" si="30"/>
        <v>10737.229033370595</v>
      </c>
      <c r="O64" s="190">
        <f t="shared" si="30"/>
        <v>10737.229033370595</v>
      </c>
      <c r="P64" s="190">
        <f t="shared" si="30"/>
        <v>10737.229033370595</v>
      </c>
      <c r="Q64" s="190">
        <f t="shared" si="30"/>
        <v>10737.229033370595</v>
      </c>
      <c r="R64" s="190">
        <f t="shared" si="30"/>
        <v>5726.5221511309819</v>
      </c>
      <c r="S64" s="190">
        <f t="shared" si="30"/>
        <v>2902.8170273244286</v>
      </c>
    </row>
    <row r="65" spans="2:19" x14ac:dyDescent="0.25">
      <c r="B65" s="196" t="s">
        <v>222</v>
      </c>
      <c r="C65" s="185" t="s">
        <v>71</v>
      </c>
      <c r="D65" s="165">
        <f t="shared" ref="D65" si="31">SUM(F65:S65)</f>
        <v>1948.8924000000002</v>
      </c>
      <c r="E65" s="183"/>
      <c r="F65" s="190">
        <f>F33*F53</f>
        <v>130.58412290277957</v>
      </c>
      <c r="G65" s="190">
        <f t="shared" ref="G65:S65" si="32">G33*G53</f>
        <v>135.80748781889076</v>
      </c>
      <c r="H65" s="190">
        <f t="shared" si="32"/>
        <v>146.25421765111312</v>
      </c>
      <c r="I65" s="190">
        <f t="shared" si="32"/>
        <v>156.70094748333548</v>
      </c>
      <c r="J65" s="190">
        <f t="shared" si="32"/>
        <v>156.70094748333548</v>
      </c>
      <c r="K65" s="190">
        <f t="shared" si="32"/>
        <v>156.70094748333548</v>
      </c>
      <c r="L65" s="190">
        <f t="shared" si="32"/>
        <v>156.70094748333548</v>
      </c>
      <c r="M65" s="190">
        <f t="shared" si="32"/>
        <v>156.70094748333548</v>
      </c>
      <c r="N65" s="190">
        <f t="shared" si="32"/>
        <v>156.70094748333548</v>
      </c>
      <c r="O65" s="190">
        <f t="shared" si="32"/>
        <v>156.70094748333548</v>
      </c>
      <c r="P65" s="190">
        <f t="shared" si="32"/>
        <v>156.70094748333548</v>
      </c>
      <c r="Q65" s="190">
        <f t="shared" si="32"/>
        <v>156.70094748333548</v>
      </c>
      <c r="R65" s="190">
        <f t="shared" si="32"/>
        <v>83.573838657778907</v>
      </c>
      <c r="S65" s="190">
        <f t="shared" si="32"/>
        <v>42.364205619418073</v>
      </c>
    </row>
    <row r="66" spans="2:19" x14ac:dyDescent="0.25">
      <c r="B66" s="196" t="s">
        <v>224</v>
      </c>
      <c r="C66" s="185" t="s">
        <v>71</v>
      </c>
      <c r="D66" s="165">
        <f t="shared" si="26"/>
        <v>146446.728</v>
      </c>
      <c r="E66" s="183"/>
      <c r="F66" s="190">
        <f>F34*F54</f>
        <v>9812.5568799293051</v>
      </c>
      <c r="G66" s="190">
        <f t="shared" ref="G66:S66" si="33">G34*G54</f>
        <v>10205.059155126477</v>
      </c>
      <c r="H66" s="190">
        <f t="shared" si="33"/>
        <v>10990.063705520823</v>
      </c>
      <c r="I66" s="190">
        <f t="shared" si="33"/>
        <v>11775.068255915166</v>
      </c>
      <c r="J66" s="190">
        <f t="shared" si="33"/>
        <v>11775.068255915166</v>
      </c>
      <c r="K66" s="190">
        <f t="shared" si="33"/>
        <v>11775.068255915166</v>
      </c>
      <c r="L66" s="190">
        <f t="shared" si="33"/>
        <v>11775.068255915166</v>
      </c>
      <c r="M66" s="190">
        <f t="shared" si="33"/>
        <v>11775.068255915166</v>
      </c>
      <c r="N66" s="190">
        <f t="shared" si="33"/>
        <v>11775.068255915166</v>
      </c>
      <c r="O66" s="190">
        <f t="shared" si="33"/>
        <v>11775.068255915166</v>
      </c>
      <c r="P66" s="190">
        <f t="shared" si="33"/>
        <v>11775.068255915166</v>
      </c>
      <c r="Q66" s="190">
        <f t="shared" si="33"/>
        <v>11775.068255915166</v>
      </c>
      <c r="R66" s="190">
        <f t="shared" si="33"/>
        <v>6280.0364031547551</v>
      </c>
      <c r="S66" s="190">
        <f t="shared" si="33"/>
        <v>3183.3975530321686</v>
      </c>
    </row>
    <row r="67" spans="2:19" x14ac:dyDescent="0.25">
      <c r="B67" s="195" t="s">
        <v>243</v>
      </c>
      <c r="C67" s="578"/>
      <c r="D67" s="165"/>
      <c r="E67" s="183"/>
      <c r="F67" s="167"/>
      <c r="G67" s="167"/>
      <c r="H67" s="167"/>
      <c r="I67" s="167"/>
      <c r="J67" s="167"/>
      <c r="K67" s="167"/>
      <c r="L67" s="197"/>
      <c r="M67" s="167"/>
      <c r="N67" s="197"/>
      <c r="O67" s="167"/>
      <c r="P67" s="197"/>
      <c r="Q67" s="167"/>
      <c r="R67" s="197"/>
      <c r="S67" s="167"/>
    </row>
    <row r="68" spans="2:19" x14ac:dyDescent="0.25">
      <c r="B68" s="196" t="s">
        <v>220</v>
      </c>
      <c r="C68" s="185" t="s">
        <v>231</v>
      </c>
      <c r="D68" s="165">
        <f t="shared" si="26"/>
        <v>563532.0168000001</v>
      </c>
      <c r="E68" s="183"/>
      <c r="F68" s="183">
        <f t="shared" ref="F68:S68" si="34">F31*F56</f>
        <v>37759.054394928346</v>
      </c>
      <c r="G68" s="183">
        <f t="shared" si="34"/>
        <v>39269.41657072548</v>
      </c>
      <c r="H68" s="183">
        <f t="shared" si="34"/>
        <v>42290.140922319748</v>
      </c>
      <c r="I68" s="183">
        <f t="shared" si="34"/>
        <v>45310.865273914016</v>
      </c>
      <c r="J68" s="183">
        <f t="shared" si="34"/>
        <v>45310.865273914016</v>
      </c>
      <c r="K68" s="183">
        <f t="shared" si="34"/>
        <v>45310.865273914016</v>
      </c>
      <c r="L68" s="183">
        <f t="shared" si="34"/>
        <v>45310.865273914016</v>
      </c>
      <c r="M68" s="183">
        <f t="shared" si="34"/>
        <v>45310.865273914016</v>
      </c>
      <c r="N68" s="183">
        <f t="shared" si="34"/>
        <v>45310.865273914016</v>
      </c>
      <c r="O68" s="183">
        <f t="shared" si="34"/>
        <v>45310.865273914016</v>
      </c>
      <c r="P68" s="183">
        <f t="shared" si="34"/>
        <v>45310.865273914016</v>
      </c>
      <c r="Q68" s="183">
        <f t="shared" si="34"/>
        <v>45310.865273914016</v>
      </c>
      <c r="R68" s="183">
        <f t="shared" si="34"/>
        <v>24165.794812754142</v>
      </c>
      <c r="S68" s="183">
        <f t="shared" si="34"/>
        <v>12249.82263404617</v>
      </c>
    </row>
    <row r="69" spans="2:19" x14ac:dyDescent="0.25">
      <c r="B69" s="196" t="s">
        <v>224</v>
      </c>
      <c r="C69" s="185" t="s">
        <v>71</v>
      </c>
      <c r="D69" s="165">
        <f t="shared" si="26"/>
        <v>175578.60399999996</v>
      </c>
      <c r="E69" s="183"/>
      <c r="F69" s="183">
        <f>F34*F57</f>
        <v>11764.517119485134</v>
      </c>
      <c r="G69" s="183">
        <f t="shared" ref="G69:S69" si="35">G34*G57</f>
        <v>12235.097804264538</v>
      </c>
      <c r="H69" s="183">
        <f t="shared" si="35"/>
        <v>13176.25917382335</v>
      </c>
      <c r="I69" s="183">
        <f t="shared" si="35"/>
        <v>14117.420543382161</v>
      </c>
      <c r="J69" s="183">
        <f t="shared" si="35"/>
        <v>14117.420543382161</v>
      </c>
      <c r="K69" s="183">
        <f t="shared" si="35"/>
        <v>14117.420543382161</v>
      </c>
      <c r="L69" s="183">
        <f t="shared" si="35"/>
        <v>14117.420543382161</v>
      </c>
      <c r="M69" s="183">
        <f t="shared" si="35"/>
        <v>14117.420543382161</v>
      </c>
      <c r="N69" s="183">
        <f t="shared" si="35"/>
        <v>14117.420543382161</v>
      </c>
      <c r="O69" s="183">
        <f t="shared" si="35"/>
        <v>14117.420543382161</v>
      </c>
      <c r="P69" s="183">
        <f t="shared" si="35"/>
        <v>14117.420543382161</v>
      </c>
      <c r="Q69" s="183">
        <f t="shared" si="35"/>
        <v>14117.420543382161</v>
      </c>
      <c r="R69" s="183">
        <f t="shared" si="35"/>
        <v>7529.2909564704851</v>
      </c>
      <c r="S69" s="183">
        <f t="shared" si="35"/>
        <v>3816.6540555170623</v>
      </c>
    </row>
    <row r="70" spans="2:19" x14ac:dyDescent="0.25">
      <c r="B70" s="189" t="s">
        <v>244</v>
      </c>
      <c r="C70" s="572"/>
      <c r="D70" s="193"/>
      <c r="E70" s="193"/>
      <c r="F70" s="193"/>
      <c r="G70" s="193"/>
      <c r="H70" s="193"/>
      <c r="I70" s="193"/>
      <c r="J70" s="193"/>
      <c r="K70" s="193"/>
      <c r="L70" s="177"/>
      <c r="M70" s="193"/>
      <c r="N70" s="177"/>
      <c r="O70" s="193"/>
      <c r="P70" s="177"/>
      <c r="Q70" s="193"/>
      <c r="R70" s="177"/>
      <c r="S70" s="193"/>
    </row>
    <row r="71" spans="2:19" x14ac:dyDescent="0.25">
      <c r="B71" s="195" t="s">
        <v>242</v>
      </c>
      <c r="C71" s="578"/>
      <c r="D71" s="191"/>
      <c r="E71" s="191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72"/>
      <c r="R71" s="172"/>
      <c r="S71" s="172"/>
    </row>
    <row r="72" spans="2:19" x14ac:dyDescent="0.25">
      <c r="B72" s="196" t="s">
        <v>219</v>
      </c>
      <c r="C72" s="185" t="s">
        <v>2</v>
      </c>
      <c r="D72" s="172">
        <f>AVERAGE(F72:S72)</f>
        <v>22.070106153042218</v>
      </c>
      <c r="E72" s="172"/>
      <c r="F72" s="172">
        <f>F60/F43*100</f>
        <v>22.070106153042222</v>
      </c>
      <c r="G72" s="172">
        <f>G60/G43*100</f>
        <v>22.070106153042218</v>
      </c>
      <c r="H72" s="172">
        <f t="shared" ref="H72:S72" si="36">H60/H43*100</f>
        <v>22.070106153042218</v>
      </c>
      <c r="I72" s="172">
        <f t="shared" si="36"/>
        <v>22.070106153042218</v>
      </c>
      <c r="J72" s="172">
        <f t="shared" si="36"/>
        <v>22.070106153042218</v>
      </c>
      <c r="K72" s="172">
        <f t="shared" si="36"/>
        <v>22.070106153042218</v>
      </c>
      <c r="L72" s="172">
        <f t="shared" si="36"/>
        <v>22.070106153042218</v>
      </c>
      <c r="M72" s="172">
        <f t="shared" si="36"/>
        <v>22.070106153042218</v>
      </c>
      <c r="N72" s="172">
        <f t="shared" si="36"/>
        <v>22.070106153042218</v>
      </c>
      <c r="O72" s="172">
        <f t="shared" si="36"/>
        <v>22.070106153042218</v>
      </c>
      <c r="P72" s="172">
        <f t="shared" si="36"/>
        <v>22.070106153042218</v>
      </c>
      <c r="Q72" s="172">
        <f t="shared" si="36"/>
        <v>22.070106153042218</v>
      </c>
      <c r="R72" s="172">
        <f t="shared" si="36"/>
        <v>22.070106153042214</v>
      </c>
      <c r="S72" s="172">
        <f t="shared" si="36"/>
        <v>22.070106153042218</v>
      </c>
    </row>
    <row r="73" spans="2:19" x14ac:dyDescent="0.25">
      <c r="B73" s="196" t="s">
        <v>222</v>
      </c>
      <c r="C73" s="185" t="s">
        <v>223</v>
      </c>
      <c r="D73" s="172">
        <f t="shared" ref="D73:D81" si="37">AVERAGE(F73:S73)</f>
        <v>5.0992146492428816</v>
      </c>
      <c r="E73" s="172"/>
      <c r="F73" s="180">
        <f>F61/F43*1000</f>
        <v>5.0992146492428816</v>
      </c>
      <c r="G73" s="180">
        <f>G61/G43*1000</f>
        <v>5.0992146492428816</v>
      </c>
      <c r="H73" s="180">
        <f t="shared" ref="H73:S73" si="38">H61/H43*1000</f>
        <v>5.0992146492428816</v>
      </c>
      <c r="I73" s="180">
        <f t="shared" si="38"/>
        <v>5.0992146492428816</v>
      </c>
      <c r="J73" s="180">
        <f t="shared" si="38"/>
        <v>5.0992146492428816</v>
      </c>
      <c r="K73" s="180">
        <f t="shared" si="38"/>
        <v>5.0992146492428816</v>
      </c>
      <c r="L73" s="180">
        <f t="shared" si="38"/>
        <v>5.0992146492428816</v>
      </c>
      <c r="M73" s="180">
        <f t="shared" si="38"/>
        <v>5.0992146492428816</v>
      </c>
      <c r="N73" s="180">
        <f t="shared" si="38"/>
        <v>5.0992146492428816</v>
      </c>
      <c r="O73" s="180">
        <f t="shared" si="38"/>
        <v>5.0992146492428816</v>
      </c>
      <c r="P73" s="180">
        <f t="shared" si="38"/>
        <v>5.0992146492428816</v>
      </c>
      <c r="Q73" s="180">
        <f t="shared" si="38"/>
        <v>5.0992146492428816</v>
      </c>
      <c r="R73" s="180">
        <f t="shared" si="38"/>
        <v>5.0992146492428807</v>
      </c>
      <c r="S73" s="180">
        <f t="shared" si="38"/>
        <v>5.0992146492428816</v>
      </c>
    </row>
    <row r="74" spans="2:19" x14ac:dyDescent="0.25">
      <c r="B74" s="196" t="s">
        <v>224</v>
      </c>
      <c r="C74" s="185" t="s">
        <v>223</v>
      </c>
      <c r="D74" s="172">
        <f t="shared" si="37"/>
        <v>687.9045815697184</v>
      </c>
      <c r="E74" s="172"/>
      <c r="F74" s="172">
        <f>F62/F43*1000</f>
        <v>687.90458156971852</v>
      </c>
      <c r="G74" s="172">
        <f>G62/G43*1000</f>
        <v>687.90458156971852</v>
      </c>
      <c r="H74" s="172">
        <f t="shared" ref="H74:S74" si="39">H62/H43*1000</f>
        <v>687.9045815697184</v>
      </c>
      <c r="I74" s="172">
        <f t="shared" si="39"/>
        <v>687.90458156971852</v>
      </c>
      <c r="J74" s="172">
        <f t="shared" si="39"/>
        <v>687.90458156971852</v>
      </c>
      <c r="K74" s="172">
        <f t="shared" si="39"/>
        <v>687.90458156971852</v>
      </c>
      <c r="L74" s="172">
        <f t="shared" si="39"/>
        <v>687.90458156971852</v>
      </c>
      <c r="M74" s="172">
        <f t="shared" si="39"/>
        <v>687.90458156971852</v>
      </c>
      <c r="N74" s="172">
        <f t="shared" si="39"/>
        <v>687.90458156971852</v>
      </c>
      <c r="O74" s="172">
        <f t="shared" si="39"/>
        <v>687.90458156971852</v>
      </c>
      <c r="P74" s="172">
        <f t="shared" si="39"/>
        <v>687.90458156971852</v>
      </c>
      <c r="Q74" s="172">
        <f t="shared" si="39"/>
        <v>687.90458156971852</v>
      </c>
      <c r="R74" s="172">
        <f t="shared" si="39"/>
        <v>687.90458156971852</v>
      </c>
      <c r="S74" s="172">
        <f t="shared" si="39"/>
        <v>687.9045815697184</v>
      </c>
    </row>
    <row r="75" spans="2:19" x14ac:dyDescent="0.25">
      <c r="B75" s="195" t="s">
        <v>354</v>
      </c>
      <c r="C75" s="185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  <c r="R75" s="172"/>
      <c r="S75" s="172"/>
    </row>
    <row r="76" spans="2:19" x14ac:dyDescent="0.25">
      <c r="B76" s="196" t="s">
        <v>221</v>
      </c>
      <c r="C76" s="185" t="s">
        <v>2</v>
      </c>
      <c r="D76" s="172">
        <f>AVERAGE(F76:S76)</f>
        <v>35.436399450067952</v>
      </c>
      <c r="E76" s="172"/>
      <c r="F76" s="172">
        <f>F64/F44*100</f>
        <v>35.436399450067967</v>
      </c>
      <c r="G76" s="172">
        <f t="shared" ref="G76:S76" si="40">G64/G44*100</f>
        <v>35.436399450067967</v>
      </c>
      <c r="H76" s="172">
        <f t="shared" si="40"/>
        <v>35.436399450067967</v>
      </c>
      <c r="I76" s="172">
        <f t="shared" si="40"/>
        <v>35.436399450067967</v>
      </c>
      <c r="J76" s="172">
        <f t="shared" si="40"/>
        <v>35.436399450067967</v>
      </c>
      <c r="K76" s="172">
        <f t="shared" si="40"/>
        <v>35.436399450067967</v>
      </c>
      <c r="L76" s="172">
        <f t="shared" si="40"/>
        <v>35.436399450067967</v>
      </c>
      <c r="M76" s="172">
        <f t="shared" si="40"/>
        <v>35.436399450067967</v>
      </c>
      <c r="N76" s="172">
        <f t="shared" si="40"/>
        <v>35.436399450067967</v>
      </c>
      <c r="O76" s="172">
        <f t="shared" si="40"/>
        <v>35.436399450067967</v>
      </c>
      <c r="P76" s="172">
        <f t="shared" si="40"/>
        <v>35.436399450067967</v>
      </c>
      <c r="Q76" s="172">
        <f t="shared" si="40"/>
        <v>35.436399450067967</v>
      </c>
      <c r="R76" s="172">
        <f t="shared" si="40"/>
        <v>35.43639945006796</v>
      </c>
      <c r="S76" s="172">
        <f t="shared" si="40"/>
        <v>35.43639945006796</v>
      </c>
    </row>
    <row r="77" spans="2:19" x14ac:dyDescent="0.25">
      <c r="B77" s="196" t="s">
        <v>222</v>
      </c>
      <c r="C77" s="185" t="s">
        <v>223</v>
      </c>
      <c r="D77" s="172">
        <f t="shared" ref="D77" si="41">AVERAGE(F77:S77)</f>
        <v>0.51716484317932498</v>
      </c>
      <c r="E77" s="172"/>
      <c r="F77" s="172">
        <f>F65/F44*100</f>
        <v>0.5171648431793251</v>
      </c>
      <c r="G77" s="172">
        <f t="shared" ref="G77:S77" si="42">G65/G44*100</f>
        <v>0.5171648431793251</v>
      </c>
      <c r="H77" s="172">
        <f t="shared" si="42"/>
        <v>0.5171648431793251</v>
      </c>
      <c r="I77" s="172">
        <f t="shared" si="42"/>
        <v>0.5171648431793251</v>
      </c>
      <c r="J77" s="172">
        <f t="shared" si="42"/>
        <v>0.5171648431793251</v>
      </c>
      <c r="K77" s="172">
        <f t="shared" si="42"/>
        <v>0.5171648431793251</v>
      </c>
      <c r="L77" s="172">
        <f t="shared" si="42"/>
        <v>0.5171648431793251</v>
      </c>
      <c r="M77" s="172">
        <f t="shared" si="42"/>
        <v>0.5171648431793251</v>
      </c>
      <c r="N77" s="172">
        <f t="shared" si="42"/>
        <v>0.5171648431793251</v>
      </c>
      <c r="O77" s="172">
        <f t="shared" si="42"/>
        <v>0.5171648431793251</v>
      </c>
      <c r="P77" s="172">
        <f t="shared" si="42"/>
        <v>0.5171648431793251</v>
      </c>
      <c r="Q77" s="172">
        <f t="shared" si="42"/>
        <v>0.5171648431793251</v>
      </c>
      <c r="R77" s="172">
        <f t="shared" si="42"/>
        <v>0.51716484317932498</v>
      </c>
      <c r="S77" s="172">
        <f t="shared" si="42"/>
        <v>0.5171648431793251</v>
      </c>
    </row>
    <row r="78" spans="2:19" x14ac:dyDescent="0.25">
      <c r="B78" s="196" t="s">
        <v>224</v>
      </c>
      <c r="C78" s="185" t="s">
        <v>223</v>
      </c>
      <c r="D78" s="172">
        <f t="shared" si="37"/>
        <v>38.861611405660611</v>
      </c>
      <c r="E78" s="172"/>
      <c r="F78" s="172">
        <f>F66/F44*100</f>
        <v>38.861611405660611</v>
      </c>
      <c r="G78" s="172">
        <f t="shared" ref="G78:S78" si="43">G66/G44*100</f>
        <v>38.861611405660611</v>
      </c>
      <c r="H78" s="172">
        <f t="shared" si="43"/>
        <v>38.861611405660618</v>
      </c>
      <c r="I78" s="172">
        <f t="shared" si="43"/>
        <v>38.861611405660618</v>
      </c>
      <c r="J78" s="172">
        <f t="shared" si="43"/>
        <v>38.861611405660618</v>
      </c>
      <c r="K78" s="172">
        <f t="shared" si="43"/>
        <v>38.861611405660618</v>
      </c>
      <c r="L78" s="172">
        <f t="shared" si="43"/>
        <v>38.861611405660618</v>
      </c>
      <c r="M78" s="172">
        <f t="shared" si="43"/>
        <v>38.861611405660618</v>
      </c>
      <c r="N78" s="172">
        <f t="shared" si="43"/>
        <v>38.861611405660618</v>
      </c>
      <c r="O78" s="172">
        <f t="shared" si="43"/>
        <v>38.861611405660618</v>
      </c>
      <c r="P78" s="172">
        <f t="shared" si="43"/>
        <v>38.861611405660618</v>
      </c>
      <c r="Q78" s="172">
        <f t="shared" si="43"/>
        <v>38.861611405660618</v>
      </c>
      <c r="R78" s="172">
        <f t="shared" si="43"/>
        <v>38.861611405660611</v>
      </c>
      <c r="S78" s="172">
        <f t="shared" si="43"/>
        <v>38.861611405660611</v>
      </c>
    </row>
    <row r="79" spans="2:19" x14ac:dyDescent="0.25">
      <c r="B79" s="195" t="s">
        <v>243</v>
      </c>
      <c r="C79" s="578"/>
      <c r="D79" s="172"/>
      <c r="E79" s="172"/>
      <c r="F79" s="165"/>
      <c r="G79" s="193"/>
      <c r="H79" s="198"/>
      <c r="I79" s="167"/>
      <c r="J79" s="167"/>
      <c r="K79" s="167"/>
      <c r="L79" s="197"/>
      <c r="M79" s="167"/>
      <c r="N79" s="197"/>
      <c r="O79" s="167"/>
      <c r="P79" s="197"/>
      <c r="Q79" s="167"/>
      <c r="R79" s="197"/>
      <c r="S79" s="167"/>
    </row>
    <row r="80" spans="2:19" x14ac:dyDescent="0.25">
      <c r="B80" s="196" t="s">
        <v>220</v>
      </c>
      <c r="C80" s="185" t="s">
        <v>2</v>
      </c>
      <c r="D80" s="172">
        <f t="shared" si="37"/>
        <v>37.109635768971359</v>
      </c>
      <c r="E80" s="172"/>
      <c r="F80" s="180">
        <f>F68/F45*100</f>
        <v>37.109635768971351</v>
      </c>
      <c r="G80" s="180">
        <f>G68/G45*100</f>
        <v>37.109635768971351</v>
      </c>
      <c r="H80" s="180">
        <f t="shared" ref="H80:S80" si="44">H68/H45*100</f>
        <v>37.109635768971351</v>
      </c>
      <c r="I80" s="180">
        <f t="shared" si="44"/>
        <v>37.109635768971351</v>
      </c>
      <c r="J80" s="180">
        <f t="shared" si="44"/>
        <v>37.109635768971351</v>
      </c>
      <c r="K80" s="180">
        <f t="shared" si="44"/>
        <v>37.109635768971351</v>
      </c>
      <c r="L80" s="180">
        <f t="shared" si="44"/>
        <v>37.109635768971351</v>
      </c>
      <c r="M80" s="180">
        <f t="shared" si="44"/>
        <v>37.109635768971351</v>
      </c>
      <c r="N80" s="180">
        <f t="shared" si="44"/>
        <v>37.109635768971351</v>
      </c>
      <c r="O80" s="180">
        <f t="shared" si="44"/>
        <v>37.109635768971351</v>
      </c>
      <c r="P80" s="180">
        <f t="shared" si="44"/>
        <v>37.109635768971351</v>
      </c>
      <c r="Q80" s="180">
        <f t="shared" si="44"/>
        <v>37.109635768971351</v>
      </c>
      <c r="R80" s="180">
        <f t="shared" si="44"/>
        <v>37.109635768971351</v>
      </c>
      <c r="S80" s="180">
        <f t="shared" si="44"/>
        <v>37.109635768971344</v>
      </c>
    </row>
    <row r="81" spans="2:19" x14ac:dyDescent="0.25">
      <c r="B81" s="196" t="s">
        <v>224</v>
      </c>
      <c r="C81" s="185" t="s">
        <v>223</v>
      </c>
      <c r="D81" s="172">
        <f t="shared" si="37"/>
        <v>11.562178987208977</v>
      </c>
      <c r="E81" s="172"/>
      <c r="F81" s="180">
        <f>F69/F45*100</f>
        <v>11.562178987208977</v>
      </c>
      <c r="G81" s="180">
        <f t="shared" ref="G81:S81" si="45">G69/G45*100</f>
        <v>11.562178987208977</v>
      </c>
      <c r="H81" s="180">
        <f t="shared" si="45"/>
        <v>11.562178987208977</v>
      </c>
      <c r="I81" s="180">
        <f t="shared" si="45"/>
        <v>11.562178987208977</v>
      </c>
      <c r="J81" s="180">
        <f t="shared" si="45"/>
        <v>11.562178987208977</v>
      </c>
      <c r="K81" s="180">
        <f t="shared" si="45"/>
        <v>11.562178987208977</v>
      </c>
      <c r="L81" s="180">
        <f t="shared" si="45"/>
        <v>11.562178987208977</v>
      </c>
      <c r="M81" s="180">
        <f t="shared" si="45"/>
        <v>11.562178987208977</v>
      </c>
      <c r="N81" s="180">
        <f t="shared" si="45"/>
        <v>11.562178987208977</v>
      </c>
      <c r="O81" s="180">
        <f t="shared" si="45"/>
        <v>11.562178987208977</v>
      </c>
      <c r="P81" s="180">
        <f t="shared" si="45"/>
        <v>11.562178987208977</v>
      </c>
      <c r="Q81" s="180">
        <f t="shared" si="45"/>
        <v>11.562178987208977</v>
      </c>
      <c r="R81" s="180">
        <f t="shared" si="45"/>
        <v>11.562178987208977</v>
      </c>
      <c r="S81" s="180">
        <f t="shared" si="45"/>
        <v>11.562178987208974</v>
      </c>
    </row>
    <row r="82" spans="2:19" x14ac:dyDescent="0.25">
      <c r="B82" s="189" t="s">
        <v>245</v>
      </c>
      <c r="C82" s="199"/>
      <c r="D82" s="165"/>
      <c r="E82" s="165"/>
      <c r="F82" s="165"/>
      <c r="G82" s="167"/>
      <c r="H82" s="167"/>
      <c r="I82" s="167"/>
      <c r="J82" s="167"/>
      <c r="K82" s="167"/>
      <c r="L82" s="200"/>
      <c r="M82" s="167"/>
      <c r="N82" s="200"/>
      <c r="O82" s="167"/>
      <c r="P82" s="200"/>
      <c r="Q82" s="167"/>
      <c r="R82" s="200"/>
      <c r="S82" s="167"/>
    </row>
    <row r="83" spans="2:19" x14ac:dyDescent="0.25">
      <c r="B83" s="192" t="s">
        <v>246</v>
      </c>
      <c r="C83" s="185" t="s">
        <v>2</v>
      </c>
      <c r="D83" s="201">
        <f>'И. Д.'!F47/100</f>
        <v>0.93500000000000005</v>
      </c>
      <c r="E83" s="202"/>
      <c r="F83" s="176">
        <f>D83</f>
        <v>0.93500000000000005</v>
      </c>
      <c r="G83" s="176">
        <f>D83</f>
        <v>0.93500000000000005</v>
      </c>
      <c r="H83" s="176">
        <f t="shared" ref="H83:S85" si="46">G83</f>
        <v>0.93500000000000005</v>
      </c>
      <c r="I83" s="176">
        <f t="shared" si="46"/>
        <v>0.93500000000000005</v>
      </c>
      <c r="J83" s="176">
        <f t="shared" si="46"/>
        <v>0.93500000000000005</v>
      </c>
      <c r="K83" s="176">
        <f t="shared" si="46"/>
        <v>0.93500000000000005</v>
      </c>
      <c r="L83" s="176">
        <f t="shared" si="46"/>
        <v>0.93500000000000005</v>
      </c>
      <c r="M83" s="176">
        <f t="shared" si="46"/>
        <v>0.93500000000000005</v>
      </c>
      <c r="N83" s="176">
        <f t="shared" si="46"/>
        <v>0.93500000000000005</v>
      </c>
      <c r="O83" s="176">
        <f t="shared" si="46"/>
        <v>0.93500000000000005</v>
      </c>
      <c r="P83" s="176">
        <f t="shared" si="46"/>
        <v>0.93500000000000005</v>
      </c>
      <c r="Q83" s="176">
        <f t="shared" si="46"/>
        <v>0.93500000000000005</v>
      </c>
      <c r="R83" s="176">
        <f t="shared" si="46"/>
        <v>0.93500000000000005</v>
      </c>
      <c r="S83" s="176">
        <f t="shared" si="46"/>
        <v>0.93500000000000005</v>
      </c>
    </row>
    <row r="84" spans="2:19" x14ac:dyDescent="0.25">
      <c r="B84" s="192" t="s">
        <v>247</v>
      </c>
      <c r="C84" s="179" t="s">
        <v>2</v>
      </c>
      <c r="D84" s="201">
        <f>'И. Д.'!F48/100</f>
        <v>0.91</v>
      </c>
      <c r="E84" s="203"/>
      <c r="F84" s="204">
        <f t="shared" ref="F84:F85" si="47">D84</f>
        <v>0.91</v>
      </c>
      <c r="G84" s="204">
        <f>D84</f>
        <v>0.91</v>
      </c>
      <c r="H84" s="204">
        <f t="shared" si="46"/>
        <v>0.91</v>
      </c>
      <c r="I84" s="204">
        <f t="shared" si="46"/>
        <v>0.91</v>
      </c>
      <c r="J84" s="204">
        <f t="shared" si="46"/>
        <v>0.91</v>
      </c>
      <c r="K84" s="204">
        <f t="shared" si="46"/>
        <v>0.91</v>
      </c>
      <c r="L84" s="176">
        <f t="shared" si="46"/>
        <v>0.91</v>
      </c>
      <c r="M84" s="176">
        <f t="shared" si="46"/>
        <v>0.91</v>
      </c>
      <c r="N84" s="176">
        <f t="shared" si="46"/>
        <v>0.91</v>
      </c>
      <c r="O84" s="176">
        <f t="shared" si="46"/>
        <v>0.91</v>
      </c>
      <c r="P84" s="176">
        <f t="shared" si="46"/>
        <v>0.91</v>
      </c>
      <c r="Q84" s="176">
        <f t="shared" si="46"/>
        <v>0.91</v>
      </c>
      <c r="R84" s="176">
        <f t="shared" si="46"/>
        <v>0.91</v>
      </c>
      <c r="S84" s="176">
        <f t="shared" si="46"/>
        <v>0.91</v>
      </c>
    </row>
    <row r="85" spans="2:19" x14ac:dyDescent="0.25">
      <c r="B85" s="192" t="s">
        <v>248</v>
      </c>
      <c r="C85" s="179" t="s">
        <v>2</v>
      </c>
      <c r="D85" s="201">
        <f>'И. Д.'!F49/100</f>
        <v>0.9</v>
      </c>
      <c r="E85" s="203"/>
      <c r="F85" s="176">
        <f t="shared" si="47"/>
        <v>0.9</v>
      </c>
      <c r="G85" s="176">
        <f>D85</f>
        <v>0.9</v>
      </c>
      <c r="H85" s="176">
        <f t="shared" si="46"/>
        <v>0.9</v>
      </c>
      <c r="I85" s="176">
        <f t="shared" si="46"/>
        <v>0.9</v>
      </c>
      <c r="J85" s="176">
        <f t="shared" si="46"/>
        <v>0.9</v>
      </c>
      <c r="K85" s="176">
        <f t="shared" si="46"/>
        <v>0.9</v>
      </c>
      <c r="L85" s="176">
        <f t="shared" si="46"/>
        <v>0.9</v>
      </c>
      <c r="M85" s="176">
        <f t="shared" si="46"/>
        <v>0.9</v>
      </c>
      <c r="N85" s="176">
        <f t="shared" si="46"/>
        <v>0.9</v>
      </c>
      <c r="O85" s="176">
        <f t="shared" si="46"/>
        <v>0.9</v>
      </c>
      <c r="P85" s="176">
        <f t="shared" si="46"/>
        <v>0.9</v>
      </c>
      <c r="Q85" s="176">
        <f t="shared" si="46"/>
        <v>0.9</v>
      </c>
      <c r="R85" s="176">
        <f t="shared" si="46"/>
        <v>0.9</v>
      </c>
      <c r="S85" s="176">
        <f t="shared" si="46"/>
        <v>0.9</v>
      </c>
    </row>
    <row r="86" spans="2:19" x14ac:dyDescent="0.25">
      <c r="B86" s="194" t="s">
        <v>249</v>
      </c>
      <c r="C86" s="579"/>
      <c r="D86" s="165"/>
      <c r="E86" s="165"/>
      <c r="F86" s="165"/>
      <c r="G86" s="167"/>
      <c r="H86" s="167"/>
      <c r="I86" s="167"/>
      <c r="J86" s="167"/>
      <c r="K86" s="167"/>
      <c r="L86" s="200"/>
      <c r="M86" s="167"/>
      <c r="N86" s="200"/>
      <c r="O86" s="167"/>
      <c r="P86" s="200"/>
      <c r="Q86" s="167"/>
      <c r="R86" s="200"/>
      <c r="S86" s="167"/>
    </row>
    <row r="87" spans="2:19" x14ac:dyDescent="0.25">
      <c r="B87" s="192" t="s">
        <v>250</v>
      </c>
      <c r="C87" s="179" t="s">
        <v>231</v>
      </c>
      <c r="D87" s="165">
        <f t="shared" ref="D87:D91" si="48">SUM(F87:S87)</f>
        <v>275251.42331499996</v>
      </c>
      <c r="E87" s="183"/>
      <c r="F87" s="183">
        <f>F60*F83</f>
        <v>18443.022144953193</v>
      </c>
      <c r="G87" s="183">
        <f>G60*G83</f>
        <v>19180.74303075132</v>
      </c>
      <c r="H87" s="183">
        <f t="shared" ref="H87:S87" si="49">H60*H83</f>
        <v>20656.184802347572</v>
      </c>
      <c r="I87" s="183">
        <f t="shared" si="49"/>
        <v>22131.626573943828</v>
      </c>
      <c r="J87" s="183">
        <f t="shared" si="49"/>
        <v>22131.626573943828</v>
      </c>
      <c r="K87" s="183">
        <f t="shared" si="49"/>
        <v>22131.626573943828</v>
      </c>
      <c r="L87" s="183">
        <f t="shared" si="49"/>
        <v>22131.626573943828</v>
      </c>
      <c r="M87" s="183">
        <f t="shared" si="49"/>
        <v>22131.626573943828</v>
      </c>
      <c r="N87" s="183">
        <f t="shared" si="49"/>
        <v>22131.626573943828</v>
      </c>
      <c r="O87" s="183">
        <f t="shared" si="49"/>
        <v>22131.626573943828</v>
      </c>
      <c r="P87" s="183">
        <f t="shared" si="49"/>
        <v>22131.626573943828</v>
      </c>
      <c r="Q87" s="183">
        <f t="shared" si="49"/>
        <v>22131.626573943828</v>
      </c>
      <c r="R87" s="183">
        <f t="shared" si="49"/>
        <v>11803.53417277004</v>
      </c>
      <c r="S87" s="183">
        <f t="shared" si="49"/>
        <v>5983.2999986834293</v>
      </c>
    </row>
    <row r="88" spans="2:19" x14ac:dyDescent="0.25">
      <c r="B88" s="195" t="s">
        <v>366</v>
      </c>
      <c r="C88" s="179" t="s">
        <v>231</v>
      </c>
      <c r="D88" s="165">
        <f t="shared" si="48"/>
        <v>121520.58427599999</v>
      </c>
      <c r="E88" s="183"/>
      <c r="F88" s="183">
        <f>F64*F84</f>
        <v>8142.3986836393678</v>
      </c>
      <c r="G88" s="183">
        <f t="shared" ref="G88:S88" si="50">G64*G84</f>
        <v>8468.0946309849423</v>
      </c>
      <c r="H88" s="183">
        <f t="shared" si="50"/>
        <v>9119.4865256760913</v>
      </c>
      <c r="I88" s="183">
        <f t="shared" si="50"/>
        <v>9770.8784203672421</v>
      </c>
      <c r="J88" s="183">
        <f t="shared" si="50"/>
        <v>9770.8784203672421</v>
      </c>
      <c r="K88" s="183">
        <f t="shared" si="50"/>
        <v>9770.8784203672421</v>
      </c>
      <c r="L88" s="183">
        <f t="shared" si="50"/>
        <v>9770.8784203672421</v>
      </c>
      <c r="M88" s="183">
        <f t="shared" si="50"/>
        <v>9770.8784203672421</v>
      </c>
      <c r="N88" s="183">
        <f t="shared" si="50"/>
        <v>9770.8784203672421</v>
      </c>
      <c r="O88" s="183">
        <f t="shared" si="50"/>
        <v>9770.8784203672421</v>
      </c>
      <c r="P88" s="183">
        <f t="shared" si="50"/>
        <v>9770.8784203672421</v>
      </c>
      <c r="Q88" s="183">
        <f t="shared" si="50"/>
        <v>9770.8784203672421</v>
      </c>
      <c r="R88" s="183">
        <f t="shared" si="50"/>
        <v>5211.1351575291937</v>
      </c>
      <c r="S88" s="183">
        <f t="shared" si="50"/>
        <v>2641.56349486523</v>
      </c>
    </row>
    <row r="89" spans="2:19" x14ac:dyDescent="0.25">
      <c r="B89" s="192" t="s">
        <v>251</v>
      </c>
      <c r="C89" s="179" t="s">
        <v>231</v>
      </c>
      <c r="D89" s="165">
        <f t="shared" si="48"/>
        <v>563532.0168000001</v>
      </c>
      <c r="E89" s="183"/>
      <c r="F89" s="183">
        <f>F68</f>
        <v>37759.054394928346</v>
      </c>
      <c r="G89" s="183">
        <f>G68</f>
        <v>39269.41657072548</v>
      </c>
      <c r="H89" s="183">
        <f t="shared" ref="H89:S89" si="51">H68</f>
        <v>42290.140922319748</v>
      </c>
      <c r="I89" s="183">
        <f t="shared" si="51"/>
        <v>45310.865273914016</v>
      </c>
      <c r="J89" s="183">
        <f t="shared" si="51"/>
        <v>45310.865273914016</v>
      </c>
      <c r="K89" s="183">
        <f t="shared" si="51"/>
        <v>45310.865273914016</v>
      </c>
      <c r="L89" s="183">
        <f t="shared" si="51"/>
        <v>45310.865273914016</v>
      </c>
      <c r="M89" s="183">
        <f t="shared" si="51"/>
        <v>45310.865273914016</v>
      </c>
      <c r="N89" s="183">
        <f t="shared" si="51"/>
        <v>45310.865273914016</v>
      </c>
      <c r="O89" s="183">
        <f t="shared" si="51"/>
        <v>45310.865273914016</v>
      </c>
      <c r="P89" s="183">
        <f t="shared" si="51"/>
        <v>45310.865273914016</v>
      </c>
      <c r="Q89" s="183">
        <f t="shared" si="51"/>
        <v>45310.865273914016</v>
      </c>
      <c r="R89" s="183">
        <f t="shared" si="51"/>
        <v>24165.794812754142</v>
      </c>
      <c r="S89" s="183">
        <f t="shared" si="51"/>
        <v>12249.82263404617</v>
      </c>
    </row>
    <row r="90" spans="2:19" x14ac:dyDescent="0.25">
      <c r="B90" s="192" t="s">
        <v>252</v>
      </c>
      <c r="C90" s="179" t="s">
        <v>71</v>
      </c>
      <c r="D90" s="165">
        <f t="shared" si="48"/>
        <v>6189.5378999999984</v>
      </c>
      <c r="E90" s="183"/>
      <c r="F90" s="183">
        <f t="shared" ref="F90:S90" si="52">F61*F84</f>
        <v>414.72550144123511</v>
      </c>
      <c r="G90" s="183">
        <f t="shared" si="52"/>
        <v>431.31452149888457</v>
      </c>
      <c r="H90" s="183">
        <f t="shared" si="52"/>
        <v>464.49256161418339</v>
      </c>
      <c r="I90" s="183">
        <f t="shared" si="52"/>
        <v>497.67060172948214</v>
      </c>
      <c r="J90" s="183">
        <f t="shared" si="52"/>
        <v>497.67060172948214</v>
      </c>
      <c r="K90" s="183">
        <f t="shared" si="52"/>
        <v>497.67060172948214</v>
      </c>
      <c r="L90" s="183">
        <f t="shared" si="52"/>
        <v>497.67060172948214</v>
      </c>
      <c r="M90" s="183">
        <f t="shared" si="52"/>
        <v>497.67060172948214</v>
      </c>
      <c r="N90" s="183">
        <f t="shared" si="52"/>
        <v>497.67060172948214</v>
      </c>
      <c r="O90" s="183">
        <f t="shared" si="52"/>
        <v>497.67060172948214</v>
      </c>
      <c r="P90" s="183">
        <f t="shared" si="52"/>
        <v>497.67060172948214</v>
      </c>
      <c r="Q90" s="183">
        <f t="shared" si="52"/>
        <v>497.67060172948214</v>
      </c>
      <c r="R90" s="183">
        <f t="shared" si="52"/>
        <v>265.42432092239045</v>
      </c>
      <c r="S90" s="183">
        <f t="shared" si="52"/>
        <v>134.54557895796665</v>
      </c>
    </row>
    <row r="91" spans="2:19" x14ac:dyDescent="0.25">
      <c r="B91" s="192" t="s">
        <v>253</v>
      </c>
      <c r="C91" s="179" t="s">
        <v>71</v>
      </c>
      <c r="D91" s="165">
        <f t="shared" si="48"/>
        <v>825817.8232799999</v>
      </c>
      <c r="E91" s="183"/>
      <c r="F91" s="183">
        <f t="shared" ref="F91:S91" si="53">F62*F85</f>
        <v>55333.324780014242</v>
      </c>
      <c r="G91" s="183">
        <f t="shared" si="53"/>
        <v>57546.657771214814</v>
      </c>
      <c r="H91" s="183">
        <f t="shared" si="53"/>
        <v>61973.32375361595</v>
      </c>
      <c r="I91" s="183">
        <f t="shared" si="53"/>
        <v>66399.989736017087</v>
      </c>
      <c r="J91" s="183">
        <f t="shared" si="53"/>
        <v>66399.989736017087</v>
      </c>
      <c r="K91" s="183">
        <f t="shared" si="53"/>
        <v>66399.989736017087</v>
      </c>
      <c r="L91" s="183">
        <f t="shared" si="53"/>
        <v>66399.989736017087</v>
      </c>
      <c r="M91" s="183">
        <f t="shared" si="53"/>
        <v>66399.989736017087</v>
      </c>
      <c r="N91" s="183">
        <f t="shared" si="53"/>
        <v>66399.989736017087</v>
      </c>
      <c r="O91" s="183">
        <f t="shared" si="53"/>
        <v>66399.989736017087</v>
      </c>
      <c r="P91" s="183">
        <f t="shared" si="53"/>
        <v>66399.989736017087</v>
      </c>
      <c r="Q91" s="183">
        <f t="shared" si="53"/>
        <v>66399.989736017087</v>
      </c>
      <c r="R91" s="183">
        <f t="shared" si="53"/>
        <v>35413.327859209116</v>
      </c>
      <c r="S91" s="183">
        <f t="shared" si="53"/>
        <v>17951.281491792044</v>
      </c>
    </row>
    <row r="92" spans="2:19" x14ac:dyDescent="0.25">
      <c r="B92" s="205" t="s">
        <v>254</v>
      </c>
      <c r="C92" s="121"/>
      <c r="D92" s="165"/>
      <c r="E92" s="165"/>
      <c r="F92" s="165"/>
      <c r="G92" s="167"/>
      <c r="H92" s="167"/>
      <c r="I92" s="167"/>
      <c r="J92" s="167"/>
      <c r="K92" s="167"/>
      <c r="L92" s="200"/>
      <c r="M92" s="168"/>
      <c r="N92" s="168"/>
      <c r="O92" s="168"/>
      <c r="P92" s="168"/>
      <c r="Q92" s="168"/>
      <c r="R92" s="168"/>
      <c r="S92" s="168"/>
    </row>
    <row r="93" spans="2:19" x14ac:dyDescent="0.25">
      <c r="B93" s="580" t="s">
        <v>255</v>
      </c>
      <c r="C93" s="579"/>
      <c r="D93" s="165"/>
      <c r="E93" s="165"/>
      <c r="F93" s="165"/>
      <c r="G93" s="167"/>
      <c r="H93" s="167"/>
      <c r="I93" s="167"/>
      <c r="J93" s="167"/>
      <c r="K93" s="167"/>
      <c r="L93" s="200"/>
      <c r="M93" s="168"/>
      <c r="N93" s="168"/>
      <c r="O93" s="168"/>
      <c r="P93" s="168"/>
      <c r="Q93" s="168"/>
      <c r="R93" s="168"/>
      <c r="S93" s="168"/>
    </row>
    <row r="94" spans="2:19" ht="15.6" x14ac:dyDescent="0.25">
      <c r="B94" s="206" t="s">
        <v>256</v>
      </c>
      <c r="C94" s="581" t="s">
        <v>544</v>
      </c>
      <c r="D94" s="165">
        <f t="shared" ref="D94:D99" si="54">SUM(F94:S94)</f>
        <v>56.863</v>
      </c>
      <c r="E94" s="165"/>
      <c r="F94" s="183">
        <f>календари!F18</f>
        <v>47.497</v>
      </c>
      <c r="G94" s="183">
        <f>календари!G18</f>
        <v>9.3659999999999997</v>
      </c>
      <c r="H94" s="183">
        <f>календари!H18</f>
        <v>0</v>
      </c>
      <c r="I94" s="183">
        <f>календари!I18</f>
        <v>0</v>
      </c>
      <c r="J94" s="183">
        <f>календари!J18</f>
        <v>0</v>
      </c>
      <c r="K94" s="183">
        <f>календари!K18</f>
        <v>0</v>
      </c>
      <c r="L94" s="183">
        <f>календари!L18</f>
        <v>0</v>
      </c>
      <c r="M94" s="183">
        <f>календари!M18</f>
        <v>0</v>
      </c>
      <c r="N94" s="183">
        <f>календари!N18</f>
        <v>0</v>
      </c>
      <c r="O94" s="183">
        <f>календари!O18</f>
        <v>0</v>
      </c>
      <c r="P94" s="183">
        <f>календари!P18</f>
        <v>0</v>
      </c>
      <c r="Q94" s="183">
        <f>календари!Q18</f>
        <v>0</v>
      </c>
      <c r="R94" s="183">
        <f>календари!R18</f>
        <v>0</v>
      </c>
      <c r="S94" s="183">
        <f>календари!S18</f>
        <v>0</v>
      </c>
    </row>
    <row r="95" spans="2:19" x14ac:dyDescent="0.25">
      <c r="B95" s="171" t="s">
        <v>257</v>
      </c>
      <c r="C95" s="179" t="s">
        <v>258</v>
      </c>
      <c r="D95" s="165">
        <f t="shared" si="54"/>
        <v>18655.526000000002</v>
      </c>
      <c r="E95" s="165"/>
      <c r="F95" s="183">
        <f>F22</f>
        <v>1250</v>
      </c>
      <c r="G95" s="183">
        <f t="shared" ref="G95:S95" si="55">G22</f>
        <v>1300</v>
      </c>
      <c r="H95" s="183">
        <f t="shared" si="55"/>
        <v>1400</v>
      </c>
      <c r="I95" s="183">
        <f t="shared" si="55"/>
        <v>1500</v>
      </c>
      <c r="J95" s="183">
        <f t="shared" si="55"/>
        <v>1500</v>
      </c>
      <c r="K95" s="183">
        <f t="shared" si="55"/>
        <v>1500</v>
      </c>
      <c r="L95" s="183">
        <f t="shared" si="55"/>
        <v>1500</v>
      </c>
      <c r="M95" s="183">
        <f t="shared" si="55"/>
        <v>1500</v>
      </c>
      <c r="N95" s="183">
        <f t="shared" si="55"/>
        <v>1500</v>
      </c>
      <c r="O95" s="183">
        <f t="shared" si="55"/>
        <v>1500</v>
      </c>
      <c r="P95" s="183">
        <f t="shared" si="55"/>
        <v>1500</v>
      </c>
      <c r="Q95" s="183">
        <f t="shared" si="55"/>
        <v>1500</v>
      </c>
      <c r="R95" s="183">
        <f t="shared" si="55"/>
        <v>800</v>
      </c>
      <c r="S95" s="183">
        <f t="shared" si="55"/>
        <v>405.52600000000001</v>
      </c>
    </row>
    <row r="96" spans="2:19" ht="15.6" x14ac:dyDescent="0.25">
      <c r="B96" s="207" t="s">
        <v>259</v>
      </c>
      <c r="C96" s="581" t="s">
        <v>544</v>
      </c>
      <c r="D96" s="165">
        <f t="shared" si="54"/>
        <v>826.43980180000017</v>
      </c>
      <c r="E96" s="208"/>
      <c r="F96" s="183">
        <f>календари!F17</f>
        <v>55.375</v>
      </c>
      <c r="G96" s="183">
        <f>календари!G17</f>
        <v>57.589999999999989</v>
      </c>
      <c r="H96" s="183">
        <f>календари!H17</f>
        <v>62.019999999999996</v>
      </c>
      <c r="I96" s="183">
        <f>календари!I17</f>
        <v>66.45</v>
      </c>
      <c r="J96" s="183">
        <f>календари!J17</f>
        <v>66.45</v>
      </c>
      <c r="K96" s="183">
        <f>календари!K17</f>
        <v>66.45</v>
      </c>
      <c r="L96" s="183">
        <f>календари!L17</f>
        <v>66.45</v>
      </c>
      <c r="M96" s="183">
        <f>календари!M17</f>
        <v>66.45</v>
      </c>
      <c r="N96" s="183">
        <f>календари!N17</f>
        <v>66.45</v>
      </c>
      <c r="O96" s="183">
        <f>календари!O17</f>
        <v>66.45</v>
      </c>
      <c r="P96" s="183">
        <f>календари!P17</f>
        <v>66.45</v>
      </c>
      <c r="Q96" s="183">
        <f>календари!Q17</f>
        <v>66.45</v>
      </c>
      <c r="R96" s="183">
        <f>календари!R17</f>
        <v>35.44</v>
      </c>
      <c r="S96" s="183">
        <f>календари!S17</f>
        <v>17.9648018</v>
      </c>
    </row>
    <row r="97" spans="2:19" ht="15.6" x14ac:dyDescent="0.25">
      <c r="B97" s="329" t="s">
        <v>393</v>
      </c>
      <c r="C97" s="581" t="s">
        <v>544</v>
      </c>
      <c r="D97" s="165">
        <f t="shared" si="54"/>
        <v>4922.3023746701847</v>
      </c>
      <c r="E97" s="208"/>
      <c r="F97" s="183">
        <f>F95/'И. Д.'!$F$134</f>
        <v>329.81530343007915</v>
      </c>
      <c r="G97" s="183">
        <f>G95/'И. Д.'!$F$134</f>
        <v>343.00791556728234</v>
      </c>
      <c r="H97" s="183">
        <f>H95/'И. Д.'!$F$134</f>
        <v>369.39313984168865</v>
      </c>
      <c r="I97" s="183">
        <f>I95/'И. Д.'!$F$134</f>
        <v>395.77836411609496</v>
      </c>
      <c r="J97" s="183">
        <f>J95/'И. Д.'!$F$134</f>
        <v>395.77836411609496</v>
      </c>
      <c r="K97" s="183">
        <f>K95/'И. Д.'!$F$134</f>
        <v>395.77836411609496</v>
      </c>
      <c r="L97" s="183">
        <f>L95/'И. Д.'!$F$134</f>
        <v>395.77836411609496</v>
      </c>
      <c r="M97" s="183">
        <f>M95/'И. Д.'!$F$134</f>
        <v>395.77836411609496</v>
      </c>
      <c r="N97" s="183">
        <f>N95/'И. Д.'!$F$134</f>
        <v>395.77836411609496</v>
      </c>
      <c r="O97" s="183">
        <f>O95/'И. Д.'!$F$134</f>
        <v>395.77836411609496</v>
      </c>
      <c r="P97" s="183">
        <f>P95/'И. Д.'!$F$134</f>
        <v>395.77836411609496</v>
      </c>
      <c r="Q97" s="183">
        <f>Q95/'И. Д.'!$F$134</f>
        <v>395.77836411609496</v>
      </c>
      <c r="R97" s="183">
        <f>R95/'И. Д.'!$F$134</f>
        <v>211.08179419525067</v>
      </c>
      <c r="S97" s="183">
        <f>S95/'И. Д.'!$F$134</f>
        <v>106.99894459102903</v>
      </c>
    </row>
    <row r="98" spans="2:19" x14ac:dyDescent="0.25">
      <c r="B98" s="169" t="s">
        <v>37</v>
      </c>
      <c r="C98" s="209" t="s">
        <v>260</v>
      </c>
      <c r="D98" s="165">
        <f t="shared" si="54"/>
        <v>0</v>
      </c>
      <c r="E98" s="167"/>
      <c r="F98" s="183"/>
      <c r="G98" s="183"/>
      <c r="H98" s="183"/>
      <c r="I98" s="183"/>
      <c r="J98" s="183"/>
      <c r="K98" s="183"/>
      <c r="L98" s="183"/>
      <c r="M98" s="183"/>
      <c r="N98" s="183"/>
      <c r="O98" s="183"/>
      <c r="P98" s="183"/>
      <c r="Q98" s="183"/>
      <c r="R98" s="183"/>
      <c r="S98" s="183"/>
    </row>
    <row r="99" spans="2:19" x14ac:dyDescent="0.25">
      <c r="B99" s="169" t="s">
        <v>261</v>
      </c>
      <c r="C99" s="209" t="s">
        <v>260</v>
      </c>
      <c r="D99" s="165">
        <f t="shared" si="54"/>
        <v>0</v>
      </c>
      <c r="E99" s="167"/>
      <c r="F99" s="183"/>
      <c r="G99" s="183"/>
      <c r="H99" s="183"/>
      <c r="I99" s="183"/>
      <c r="J99" s="183"/>
      <c r="K99" s="183"/>
      <c r="L99" s="183"/>
      <c r="M99" s="183"/>
      <c r="N99" s="183"/>
      <c r="O99" s="183"/>
      <c r="P99" s="183"/>
      <c r="Q99" s="183"/>
      <c r="R99" s="183"/>
      <c r="S99" s="183"/>
    </row>
    <row r="100" spans="2:19" x14ac:dyDescent="0.25">
      <c r="B100" s="210" t="s">
        <v>262</v>
      </c>
      <c r="C100" s="209"/>
      <c r="D100" s="183"/>
      <c r="E100" s="183"/>
      <c r="F100" s="168"/>
      <c r="G100" s="211"/>
      <c r="H100" s="211"/>
      <c r="I100" s="211"/>
      <c r="J100" s="211"/>
      <c r="K100" s="211"/>
      <c r="L100" s="211"/>
      <c r="M100" s="168"/>
      <c r="N100" s="168"/>
      <c r="O100" s="168"/>
      <c r="P100" s="168"/>
      <c r="Q100" s="168"/>
      <c r="R100" s="168"/>
      <c r="S100" s="168"/>
    </row>
    <row r="101" spans="2:19" ht="26.4" x14ac:dyDescent="0.25">
      <c r="B101" s="214" t="s">
        <v>263</v>
      </c>
      <c r="C101" s="168"/>
      <c r="D101" s="183"/>
      <c r="E101" s="183"/>
      <c r="F101" s="168"/>
      <c r="G101" s="211"/>
      <c r="H101" s="211"/>
      <c r="I101" s="211"/>
      <c r="J101" s="211"/>
      <c r="K101" s="211"/>
      <c r="L101" s="211"/>
      <c r="M101" s="168"/>
      <c r="N101" s="168"/>
      <c r="O101" s="168"/>
      <c r="P101" s="168"/>
      <c r="Q101" s="168"/>
      <c r="R101" s="168"/>
      <c r="S101" s="168"/>
    </row>
    <row r="102" spans="2:19" x14ac:dyDescent="0.25">
      <c r="B102" s="215" t="s">
        <v>264</v>
      </c>
      <c r="C102" s="168"/>
      <c r="D102" s="183"/>
      <c r="E102" s="183"/>
      <c r="F102" s="168"/>
      <c r="G102" s="211"/>
      <c r="H102" s="211"/>
      <c r="I102" s="211"/>
      <c r="J102" s="211"/>
      <c r="K102" s="211"/>
      <c r="L102" s="211"/>
      <c r="M102" s="168"/>
      <c r="N102" s="168"/>
      <c r="O102" s="168"/>
      <c r="P102" s="168"/>
      <c r="Q102" s="168"/>
      <c r="R102" s="168"/>
      <c r="S102" s="168"/>
    </row>
    <row r="103" spans="2:19" x14ac:dyDescent="0.25">
      <c r="B103" s="192" t="s">
        <v>250</v>
      </c>
      <c r="C103" s="185" t="s">
        <v>3</v>
      </c>
      <c r="D103" s="216">
        <f t="shared" ref="D103:D109" si="56">AVERAGE(F103:S103)</f>
        <v>8819.7037865535276</v>
      </c>
      <c r="E103" s="213"/>
      <c r="F103" s="213">
        <f>'цены и инфл'!D16</f>
        <v>8083.9999999999991</v>
      </c>
      <c r="G103" s="213">
        <f>'цены и инфл'!E16</f>
        <v>8930</v>
      </c>
      <c r="H103" s="213">
        <f>'цены и инфл'!F16</f>
        <v>8648</v>
      </c>
      <c r="I103" s="213">
        <f>'цены и инфл'!G16</f>
        <v>8038.1412201599996</v>
      </c>
      <c r="J103" s="213">
        <f>'цены и инфл'!H16</f>
        <v>8198.9040445631999</v>
      </c>
      <c r="K103" s="213">
        <f>'цены и инфл'!I16</f>
        <v>8362.8821254544655</v>
      </c>
      <c r="L103" s="213">
        <f>'цены и инфл'!J16</f>
        <v>8530.1397679635538</v>
      </c>
      <c r="M103" s="213">
        <f>'цены и инфл'!K16</f>
        <v>8700.7425633228268</v>
      </c>
      <c r="N103" s="213">
        <f>'цены и инфл'!L16</f>
        <v>8874.7574145892831</v>
      </c>
      <c r="O103" s="213">
        <f>'цены и инфл'!M16</f>
        <v>9052.2525628810708</v>
      </c>
      <c r="P103" s="213">
        <f>'цены и инфл'!N16</f>
        <v>9233.2976141386935</v>
      </c>
      <c r="Q103" s="213">
        <f>'цены и инфл'!O16</f>
        <v>9417.9635664214675</v>
      </c>
      <c r="R103" s="213">
        <f>'цены и инфл'!P16</f>
        <v>9606.3228377498963</v>
      </c>
      <c r="S103" s="213">
        <f>'цены и инфл'!Q16</f>
        <v>9798.4492945048933</v>
      </c>
    </row>
    <row r="104" spans="2:19" x14ac:dyDescent="0.25">
      <c r="B104" s="195" t="s">
        <v>366</v>
      </c>
      <c r="C104" s="185" t="s">
        <v>3</v>
      </c>
      <c r="D104" s="216">
        <f>AVERAGE(F104:S104)</f>
        <v>2138.4796371596744</v>
      </c>
      <c r="E104" s="213"/>
      <c r="F104" s="213">
        <f>'цены и инфл'!D22</f>
        <v>1998.5127030343224</v>
      </c>
      <c r="G104" s="213">
        <f>'цены и инфл'!E22</f>
        <v>1946.3570474896601</v>
      </c>
      <c r="H104" s="213">
        <f>'цены и инфл'!F22</f>
        <v>1946.3570474896592</v>
      </c>
      <c r="I104" s="213">
        <f>'цены и инфл'!G22</f>
        <v>1944.4087882346194</v>
      </c>
      <c r="J104" s="213">
        <f>'цены и инфл'!H22</f>
        <v>1985.720070480807</v>
      </c>
      <c r="K104" s="213">
        <f>'цены и инфл'!I22</f>
        <v>2034.1289031759243</v>
      </c>
      <c r="L104" s="213">
        <f>'цены и инфл'!J22</f>
        <v>2083.5059125249441</v>
      </c>
      <c r="M104" s="213">
        <f>'цены и инфл'!K22</f>
        <v>2133.8704620609442</v>
      </c>
      <c r="N104" s="213">
        <f>'цены и инфл'!L22</f>
        <v>2185.2423025876642</v>
      </c>
      <c r="O104" s="213">
        <f>'цены и инфл'!M22</f>
        <v>2237.6415799249185</v>
      </c>
      <c r="P104" s="213">
        <f>'цены и инфл'!N22</f>
        <v>2291.0888428089179</v>
      </c>
      <c r="Q104" s="213">
        <f>'цены и инфл'!O22</f>
        <v>2336.9106196650964</v>
      </c>
      <c r="R104" s="213">
        <f>'цены и инфл'!P22</f>
        <v>2383.6488320583985</v>
      </c>
      <c r="S104" s="213">
        <f>'цены и инфл'!Q22</f>
        <v>2431.3218086995666</v>
      </c>
    </row>
    <row r="105" spans="2:19" x14ac:dyDescent="0.25">
      <c r="B105" s="217" t="s">
        <v>251</v>
      </c>
      <c r="C105" s="185" t="s">
        <v>3</v>
      </c>
      <c r="D105" s="216">
        <f t="shared" si="56"/>
        <v>1666.5028349688623</v>
      </c>
      <c r="E105" s="213"/>
      <c r="F105" s="213">
        <f>'цены и инфл'!D21</f>
        <v>1482.07698986319</v>
      </c>
      <c r="G105" s="213">
        <f>'цены и инфл'!E21</f>
        <v>1482.07698986319</v>
      </c>
      <c r="H105" s="213">
        <f>'цены и инфл'!F21</f>
        <v>1596.0829121603585</v>
      </c>
      <c r="I105" s="213">
        <f>'цены и инфл'!G21</f>
        <v>1542.5459590614525</v>
      </c>
      <c r="J105" s="213">
        <f>'цены и инфл'!H21</f>
        <v>1573.3968782426816</v>
      </c>
      <c r="K105" s="213">
        <f>'цены и инфл'!I21</f>
        <v>1604.8648158075355</v>
      </c>
      <c r="L105" s="213">
        <f>'цены и инфл'!J21</f>
        <v>1636.9621121236862</v>
      </c>
      <c r="M105" s="213">
        <f>'цены и инфл'!K21</f>
        <v>1669.7013543661599</v>
      </c>
      <c r="N105" s="213">
        <f>'цены и инфл'!L21</f>
        <v>1703.095381453483</v>
      </c>
      <c r="O105" s="213">
        <f>'цены и инфл'!M21</f>
        <v>1737.1572890825528</v>
      </c>
      <c r="P105" s="213">
        <f>'цены и инфл'!N21</f>
        <v>1771.9004348642038</v>
      </c>
      <c r="Q105" s="213">
        <f>'цены и инфл'!O21</f>
        <v>1807.3384435614878</v>
      </c>
      <c r="R105" s="213">
        <f>'цены и инфл'!P21</f>
        <v>1843.4852124327176</v>
      </c>
      <c r="S105" s="213">
        <f>'цены и инфл'!Q21</f>
        <v>1880.3549166813721</v>
      </c>
    </row>
    <row r="106" spans="2:19" x14ac:dyDescent="0.25">
      <c r="B106" s="648" t="s">
        <v>252</v>
      </c>
      <c r="C106" s="218" t="s">
        <v>265</v>
      </c>
      <c r="D106" s="216">
        <f t="shared" si="56"/>
        <v>1774.3080696391221</v>
      </c>
      <c r="E106" s="213"/>
      <c r="F106" s="213">
        <f>'цены и инфл'!D17</f>
        <v>1898.67</v>
      </c>
      <c r="G106" s="213">
        <f>'цены и инфл'!E17</f>
        <v>1598.88</v>
      </c>
      <c r="H106" s="213">
        <f>'цены и инфл'!F17</f>
        <v>1598.88</v>
      </c>
      <c r="I106" s="213">
        <f>'цены и инфл'!G17</f>
        <v>1622.5116862320001</v>
      </c>
      <c r="J106" s="213">
        <f>'цены и инфл'!H17</f>
        <v>1654.96191995664</v>
      </c>
      <c r="K106" s="213">
        <f>'цены и инфл'!I17</f>
        <v>1688.0611583557729</v>
      </c>
      <c r="L106" s="213">
        <f>'цены и инфл'!J17</f>
        <v>1721.8223815228882</v>
      </c>
      <c r="M106" s="213">
        <f>'цены и инфл'!K17</f>
        <v>1756.2588291533459</v>
      </c>
      <c r="N106" s="213">
        <f>'цены и инфл'!L17</f>
        <v>1791.3840057364127</v>
      </c>
      <c r="O106" s="213">
        <f>'цены и инфл'!M17</f>
        <v>1827.2116858511411</v>
      </c>
      <c r="P106" s="213">
        <f>'цены и инфл'!N17</f>
        <v>1863.755919568164</v>
      </c>
      <c r="Q106" s="213">
        <f>'цены и инфл'!O17</f>
        <v>1901.0310379595273</v>
      </c>
      <c r="R106" s="213">
        <f>'цены и инфл'!P17</f>
        <v>1939.051658718718</v>
      </c>
      <c r="S106" s="213">
        <f>'цены и инфл'!Q17</f>
        <v>1977.8326918930925</v>
      </c>
    </row>
    <row r="107" spans="2:19" x14ac:dyDescent="0.25">
      <c r="B107" s="648"/>
      <c r="C107" s="185" t="s">
        <v>53</v>
      </c>
      <c r="D107" s="216">
        <f t="shared" si="56"/>
        <v>57.045329081638918</v>
      </c>
      <c r="E107" s="219"/>
      <c r="F107" s="213">
        <f>'цены и инфл'!D18</f>
        <v>61.043657987456889</v>
      </c>
      <c r="G107" s="213">
        <f>'цены и инфл'!E18</f>
        <v>51.4051856736479</v>
      </c>
      <c r="H107" s="213">
        <f>'цены и инфл'!F18</f>
        <v>51.4051856736479</v>
      </c>
      <c r="I107" s="213">
        <f>'цены и инфл'!G18</f>
        <v>52.164962028682268</v>
      </c>
      <c r="J107" s="213">
        <f>'цены и инфл'!H18</f>
        <v>53.208261269255914</v>
      </c>
      <c r="K107" s="213">
        <f>'цены и инфл'!I18</f>
        <v>54.272426494641032</v>
      </c>
      <c r="L107" s="213">
        <f>'цены и инфл'!J18</f>
        <v>55.357875024533854</v>
      </c>
      <c r="M107" s="213">
        <f>'цены и инфл'!K18</f>
        <v>56.465032525024533</v>
      </c>
      <c r="N107" s="213">
        <f>'цены и инфл'!L18</f>
        <v>57.594333175525023</v>
      </c>
      <c r="O107" s="213">
        <f>'цены и инфл'!M18</f>
        <v>58.746219839035525</v>
      </c>
      <c r="P107" s="213">
        <f>'цены и инфл'!N18</f>
        <v>59.921144235816236</v>
      </c>
      <c r="Q107" s="213">
        <f>'цены и инфл'!O18</f>
        <v>61.119567120532565</v>
      </c>
      <c r="R107" s="213">
        <f>'цены и инфл'!P18</f>
        <v>62.341958462943225</v>
      </c>
      <c r="S107" s="213">
        <f>'цены и инфл'!Q18</f>
        <v>63.588797632202088</v>
      </c>
    </row>
    <row r="108" spans="2:19" x14ac:dyDescent="0.25">
      <c r="B108" s="648" t="s">
        <v>253</v>
      </c>
      <c r="C108" s="218" t="s">
        <v>265</v>
      </c>
      <c r="D108" s="216">
        <f t="shared" si="56"/>
        <v>23.936959677340692</v>
      </c>
      <c r="E108" s="213"/>
      <c r="F108" s="213">
        <f>'цены и инфл'!D19</f>
        <v>22.562999999999999</v>
      </c>
      <c r="G108" s="213">
        <f>'цены и инфл'!E19</f>
        <v>20.600999999999999</v>
      </c>
      <c r="H108" s="213">
        <f>'цены и инфл'!F19</f>
        <v>20.600999999999999</v>
      </c>
      <c r="I108" s="213">
        <f>'цены и инфл'!G19</f>
        <v>22.299184928159999</v>
      </c>
      <c r="J108" s="213">
        <f>'цены и инфл'!H19</f>
        <v>22.745168626723196</v>
      </c>
      <c r="K108" s="213">
        <f>'цены и инфл'!I19</f>
        <v>23.200071999257659</v>
      </c>
      <c r="L108" s="213">
        <f>'цены и инфл'!J19</f>
        <v>23.664073439242809</v>
      </c>
      <c r="M108" s="213">
        <f>'цены и инфл'!K19</f>
        <v>24.137354908027664</v>
      </c>
      <c r="N108" s="213">
        <f>'цены и инфл'!L19</f>
        <v>24.620102006188219</v>
      </c>
      <c r="O108" s="213">
        <f>'цены и инфл'!M19</f>
        <v>25.112504046311983</v>
      </c>
      <c r="P108" s="213">
        <f>'цены и инфл'!N19</f>
        <v>25.614754127238225</v>
      </c>
      <c r="Q108" s="213">
        <f>'цены и инфл'!O19</f>
        <v>26.127049209782989</v>
      </c>
      <c r="R108" s="213">
        <f>'цены и инфл'!P19</f>
        <v>26.64959019397865</v>
      </c>
      <c r="S108" s="213">
        <f>'цены и инфл'!Q19</f>
        <v>27.182581997858225</v>
      </c>
    </row>
    <row r="109" spans="2:19" x14ac:dyDescent="0.25">
      <c r="B109" s="648"/>
      <c r="C109" s="185" t="s">
        <v>53</v>
      </c>
      <c r="D109" s="216">
        <f t="shared" si="56"/>
        <v>0.76959112420964748</v>
      </c>
      <c r="E109" s="219"/>
      <c r="F109" s="219">
        <f>'цены и инфл'!D20/1000</f>
        <v>0.72541729482795314</v>
      </c>
      <c r="G109" s="219">
        <f>'цены и инфл'!E20/1000</f>
        <v>0.66233753006030505</v>
      </c>
      <c r="H109" s="219">
        <f>'цены и инфл'!F20/1000</f>
        <v>0.66233753006030505</v>
      </c>
      <c r="I109" s="219">
        <f>'цены и инфл'!G20/1000</f>
        <v>0.71693544331224091</v>
      </c>
      <c r="J109" s="219">
        <f>'цены и инфл'!H20/1000</f>
        <v>0.73127415217848568</v>
      </c>
      <c r="K109" s="219">
        <f>'цены и инфл'!I20/1000</f>
        <v>0.74589963522205538</v>
      </c>
      <c r="L109" s="219">
        <f>'цены и инфл'!J20/1000</f>
        <v>0.76081762792649643</v>
      </c>
      <c r="M109" s="219">
        <f>'цены и инфл'!K20/1000</f>
        <v>0.77603398048502636</v>
      </c>
      <c r="N109" s="219">
        <f>'цены и инфл'!L20/1000</f>
        <v>0.79155466009472697</v>
      </c>
      <c r="O109" s="219">
        <f>'цены и инфл'!M20/1000</f>
        <v>0.80738575329662143</v>
      </c>
      <c r="P109" s="219">
        <f>'цены и инфл'!N20/1000</f>
        <v>0.82353346836255403</v>
      </c>
      <c r="Q109" s="219">
        <f>'цены и инфл'!O20/1000</f>
        <v>0.84000413772980509</v>
      </c>
      <c r="R109" s="219">
        <f>'цены и инфл'!P20/1000</f>
        <v>0.85680422048440119</v>
      </c>
      <c r="S109" s="219">
        <f>'цены и инфл'!Q20/1000</f>
        <v>0.87394030489408936</v>
      </c>
    </row>
    <row r="110" spans="2:19" x14ac:dyDescent="0.25">
      <c r="B110" s="649" t="s">
        <v>266</v>
      </c>
      <c r="C110" s="562" t="s">
        <v>6</v>
      </c>
      <c r="D110" s="165">
        <f t="shared" ref="D110" si="57">SUM(F110:S110)</f>
        <v>4567632.6089464203</v>
      </c>
      <c r="E110" s="177"/>
      <c r="F110" s="220">
        <f>F112+F113+F114+F115+F116</f>
        <v>286784.01634435041</v>
      </c>
      <c r="G110" s="220">
        <f t="shared" ref="G110:S110" si="58">G112+G113+G114+G115+G116</f>
        <v>306253.38386606349</v>
      </c>
      <c r="H110" s="220">
        <f t="shared" si="58"/>
        <v>328807.6188768096</v>
      </c>
      <c r="I110" s="220">
        <f t="shared" si="58"/>
        <v>340355.28795172396</v>
      </c>
      <c r="J110" s="220">
        <f t="shared" si="58"/>
        <v>347186.06958958862</v>
      </c>
      <c r="K110" s="220">
        <f t="shared" si="58"/>
        <v>354214.74321240542</v>
      </c>
      <c r="L110" s="220">
        <f t="shared" si="58"/>
        <v>361383.99030767829</v>
      </c>
      <c r="M110" s="220">
        <f t="shared" si="58"/>
        <v>368696.62234485673</v>
      </c>
      <c r="N110" s="220">
        <f t="shared" si="58"/>
        <v>376155.50702277874</v>
      </c>
      <c r="O110" s="220">
        <f t="shared" si="58"/>
        <v>383763.56939425925</v>
      </c>
      <c r="P110" s="220">
        <f t="shared" si="58"/>
        <v>391523.79301316937</v>
      </c>
      <c r="Q110" s="220">
        <f t="shared" si="58"/>
        <v>399354.26887343277</v>
      </c>
      <c r="R110" s="220">
        <f t="shared" si="58"/>
        <v>217248.72226714736</v>
      </c>
      <c r="S110" s="220">
        <f t="shared" si="58"/>
        <v>105905.01588215624</v>
      </c>
    </row>
    <row r="111" spans="2:19" x14ac:dyDescent="0.25">
      <c r="B111" s="650"/>
      <c r="C111" s="564" t="s">
        <v>3</v>
      </c>
      <c r="D111" s="177">
        <f>D110/D36</f>
        <v>244.84073024509843</v>
      </c>
      <c r="E111" s="177"/>
      <c r="F111" s="165">
        <f t="shared" ref="F111:S111" si="59">F110/F36</f>
        <v>229.42721307548032</v>
      </c>
      <c r="G111" s="165">
        <f t="shared" si="59"/>
        <v>235.57952605081806</v>
      </c>
      <c r="H111" s="165">
        <f t="shared" si="59"/>
        <v>234.86258491200687</v>
      </c>
      <c r="I111" s="165">
        <f t="shared" si="59"/>
        <v>226.9035253011493</v>
      </c>
      <c r="J111" s="165">
        <f t="shared" si="59"/>
        <v>231.45737972639242</v>
      </c>
      <c r="K111" s="165">
        <f t="shared" si="59"/>
        <v>236.14316214160363</v>
      </c>
      <c r="L111" s="165">
        <f t="shared" si="59"/>
        <v>240.92266020511886</v>
      </c>
      <c r="M111" s="165">
        <f t="shared" si="59"/>
        <v>245.7977482299045</v>
      </c>
      <c r="N111" s="165">
        <f t="shared" si="59"/>
        <v>250.77033801518581</v>
      </c>
      <c r="O111" s="165">
        <f t="shared" si="59"/>
        <v>255.84237959617283</v>
      </c>
      <c r="P111" s="165">
        <f t="shared" si="59"/>
        <v>261.01586200877961</v>
      </c>
      <c r="Q111" s="165">
        <f t="shared" si="59"/>
        <v>266.23617924895518</v>
      </c>
      <c r="R111" s="165">
        <f t="shared" si="59"/>
        <v>271.56090283393422</v>
      </c>
      <c r="S111" s="165">
        <f t="shared" si="59"/>
        <v>261.15468769488575</v>
      </c>
    </row>
    <row r="112" spans="2:19" x14ac:dyDescent="0.25">
      <c r="B112" s="221" t="s">
        <v>250</v>
      </c>
      <c r="C112" s="179" t="s">
        <v>6</v>
      </c>
      <c r="D112" s="165">
        <f t="shared" ref="D112:D116" si="60">SUM(F112:S112)</f>
        <v>2406348.2320271987</v>
      </c>
      <c r="E112" s="167"/>
      <c r="F112" s="213">
        <f t="shared" ref="F112:S112" si="61">F87*F103/1000</f>
        <v>149093.39101980158</v>
      </c>
      <c r="G112" s="213">
        <f t="shared" si="61"/>
        <v>171284.03526460927</v>
      </c>
      <c r="H112" s="213">
        <f t="shared" si="61"/>
        <v>178634.68617070181</v>
      </c>
      <c r="I112" s="213">
        <f t="shared" si="61"/>
        <v>177897.13983320634</v>
      </c>
      <c r="J112" s="213">
        <f t="shared" si="61"/>
        <v>181455.08262987045</v>
      </c>
      <c r="K112" s="213">
        <f t="shared" si="61"/>
        <v>185084.1842824679</v>
      </c>
      <c r="L112" s="213">
        <f t="shared" si="61"/>
        <v>188785.86796811724</v>
      </c>
      <c r="M112" s="213">
        <f t="shared" si="61"/>
        <v>192561.58532747961</v>
      </c>
      <c r="N112" s="213">
        <f t="shared" si="61"/>
        <v>196412.8170340292</v>
      </c>
      <c r="O112" s="213">
        <f t="shared" si="61"/>
        <v>200341.07337470981</v>
      </c>
      <c r="P112" s="213">
        <f t="shared" si="61"/>
        <v>204347.89484220406</v>
      </c>
      <c r="Q112" s="213">
        <f t="shared" si="61"/>
        <v>208434.85273904813</v>
      </c>
      <c r="R112" s="213">
        <f t="shared" si="61"/>
        <v>113388.55989004216</v>
      </c>
      <c r="S112" s="213">
        <f t="shared" si="61"/>
        <v>58627.061650910779</v>
      </c>
    </row>
    <row r="113" spans="2:19" x14ac:dyDescent="0.25">
      <c r="B113" s="195" t="s">
        <v>366</v>
      </c>
      <c r="C113" s="179" t="s">
        <v>6</v>
      </c>
      <c r="D113" s="165">
        <f t="shared" si="60"/>
        <v>250844.5059959004</v>
      </c>
      <c r="E113" s="167"/>
      <c r="F113" s="213">
        <f>F88*F104/1000</f>
        <v>16272.687202423222</v>
      </c>
      <c r="G113" s="213">
        <f t="shared" ref="G113:R113" si="62">G88*G104/1000</f>
        <v>16481.935663826895</v>
      </c>
      <c r="H113" s="213">
        <f t="shared" si="62"/>
        <v>17749.776868736648</v>
      </c>
      <c r="I113" s="213">
        <f t="shared" si="62"/>
        <v>18998.581869334063</v>
      </c>
      <c r="J113" s="213">
        <f t="shared" si="62"/>
        <v>19402.229385551036</v>
      </c>
      <c r="K113" s="213">
        <f t="shared" si="62"/>
        <v>19875.226204286926</v>
      </c>
      <c r="L113" s="213">
        <f t="shared" si="62"/>
        <v>20357.682959397534</v>
      </c>
      <c r="M113" s="213">
        <f t="shared" si="62"/>
        <v>20849.788849610355</v>
      </c>
      <c r="N113" s="213">
        <f t="shared" si="62"/>
        <v>21351.736857627431</v>
      </c>
      <c r="O113" s="213">
        <f t="shared" si="62"/>
        <v>21863.723825804849</v>
      </c>
      <c r="P113" s="213">
        <f t="shared" si="62"/>
        <v>22385.950533345811</v>
      </c>
      <c r="Q113" s="213">
        <f t="shared" si="62"/>
        <v>22833.66954401273</v>
      </c>
      <c r="R113" s="213">
        <f t="shared" si="62"/>
        <v>12421.516231942922</v>
      </c>
      <c r="S113" s="213"/>
    </row>
    <row r="114" spans="2:19" x14ac:dyDescent="0.25">
      <c r="B114" s="192" t="s">
        <v>251</v>
      </c>
      <c r="C114" s="179" t="s">
        <v>6</v>
      </c>
      <c r="D114" s="165">
        <f t="shared" si="60"/>
        <v>931034.89352079027</v>
      </c>
      <c r="E114" s="167"/>
      <c r="F114" s="213">
        <f>F89*F105/1000</f>
        <v>55961.825677715853</v>
      </c>
      <c r="G114" s="213">
        <f t="shared" ref="G114:S114" si="63">G89*G105/1000</f>
        <v>58200.29870482449</v>
      </c>
      <c r="H114" s="213">
        <f t="shared" si="63"/>
        <v>67498.571278968055</v>
      </c>
      <c r="I114" s="213">
        <f t="shared" si="63"/>
        <v>69894.092129853962</v>
      </c>
      <c r="J114" s="213">
        <f t="shared" si="63"/>
        <v>71291.973972451044</v>
      </c>
      <c r="K114" s="213">
        <f t="shared" si="63"/>
        <v>72717.813451900074</v>
      </c>
      <c r="L114" s="213">
        <f t="shared" si="63"/>
        <v>74172.169720938065</v>
      </c>
      <c r="M114" s="213">
        <f t="shared" si="63"/>
        <v>75655.613115356828</v>
      </c>
      <c r="N114" s="213">
        <f t="shared" si="63"/>
        <v>77168.72537766397</v>
      </c>
      <c r="O114" s="213">
        <f t="shared" si="63"/>
        <v>78712.099885217249</v>
      </c>
      <c r="P114" s="213">
        <f t="shared" si="63"/>
        <v>80286.341882921595</v>
      </c>
      <c r="Q114" s="213">
        <f t="shared" si="63"/>
        <v>81892.06872058002</v>
      </c>
      <c r="R114" s="213">
        <f t="shared" si="63"/>
        <v>44549.285383995535</v>
      </c>
      <c r="S114" s="213">
        <f t="shared" si="63"/>
        <v>23034.01421840347</v>
      </c>
    </row>
    <row r="115" spans="2:19" x14ac:dyDescent="0.25">
      <c r="B115" s="192" t="s">
        <v>252</v>
      </c>
      <c r="C115" s="179" t="s">
        <v>6</v>
      </c>
      <c r="D115" s="165">
        <f t="shared" si="60"/>
        <v>349707.75164838746</v>
      </c>
      <c r="E115" s="167"/>
      <c r="F115" s="213">
        <f t="shared" ref="F115:S115" si="64">F90*F107</f>
        <v>25316.361668655314</v>
      </c>
      <c r="G115" s="213">
        <f t="shared" si="64"/>
        <v>22171.803061390761</v>
      </c>
      <c r="H115" s="213">
        <f t="shared" si="64"/>
        <v>23877.326373805434</v>
      </c>
      <c r="I115" s="213">
        <f t="shared" si="64"/>
        <v>25960.968042009892</v>
      </c>
      <c r="J115" s="213">
        <f t="shared" si="64"/>
        <v>26480.18740285009</v>
      </c>
      <c r="K115" s="213">
        <f t="shared" si="64"/>
        <v>27009.791150907091</v>
      </c>
      <c r="L115" s="213">
        <f t="shared" si="64"/>
        <v>27549.986973925235</v>
      </c>
      <c r="M115" s="213">
        <f t="shared" si="64"/>
        <v>28100.986713403741</v>
      </c>
      <c r="N115" s="213">
        <f t="shared" si="64"/>
        <v>28663.006447671814</v>
      </c>
      <c r="O115" s="213">
        <f t="shared" si="64"/>
        <v>29236.26657662525</v>
      </c>
      <c r="P115" s="213">
        <f t="shared" si="64"/>
        <v>29820.991908157757</v>
      </c>
      <c r="Q115" s="213">
        <f t="shared" si="64"/>
        <v>30417.411746320915</v>
      </c>
      <c r="R115" s="213">
        <f t="shared" si="64"/>
        <v>16547.071989998578</v>
      </c>
      <c r="S115" s="213">
        <f t="shared" si="64"/>
        <v>8555.5915926656089</v>
      </c>
    </row>
    <row r="116" spans="2:19" x14ac:dyDescent="0.25">
      <c r="B116" s="192" t="s">
        <v>253</v>
      </c>
      <c r="C116" s="179" t="s">
        <v>6</v>
      </c>
      <c r="D116" s="165">
        <f t="shared" si="60"/>
        <v>629697.22575414379</v>
      </c>
      <c r="E116" s="167"/>
      <c r="F116" s="213">
        <f t="shared" ref="F116:S116" si="65">F91*F109</f>
        <v>40139.750775754474</v>
      </c>
      <c r="G116" s="213">
        <f t="shared" si="65"/>
        <v>38115.311171412075</v>
      </c>
      <c r="H116" s="213">
        <f t="shared" si="65"/>
        <v>41047.258184597624</v>
      </c>
      <c r="I116" s="213">
        <f t="shared" si="65"/>
        <v>47604.506077319653</v>
      </c>
      <c r="J116" s="213">
        <f t="shared" si="65"/>
        <v>48556.596198866049</v>
      </c>
      <c r="K116" s="213">
        <f t="shared" si="65"/>
        <v>49527.728122843364</v>
      </c>
      <c r="L116" s="213">
        <f t="shared" si="65"/>
        <v>50518.282685300233</v>
      </c>
      <c r="M116" s="213">
        <f t="shared" si="65"/>
        <v>51528.648339006235</v>
      </c>
      <c r="N116" s="213">
        <f t="shared" si="65"/>
        <v>52559.221305786363</v>
      </c>
      <c r="O116" s="213">
        <f t="shared" si="65"/>
        <v>53610.405731902087</v>
      </c>
      <c r="P116" s="213">
        <f t="shared" si="65"/>
        <v>54682.613846540138</v>
      </c>
      <c r="Q116" s="213">
        <f t="shared" si="65"/>
        <v>55776.266123470945</v>
      </c>
      <c r="R116" s="213">
        <f t="shared" si="65"/>
        <v>30342.288771168194</v>
      </c>
      <c r="S116" s="213">
        <f t="shared" si="65"/>
        <v>15688.348420176362</v>
      </c>
    </row>
    <row r="117" spans="2:19" x14ac:dyDescent="0.25">
      <c r="B117" s="215" t="s">
        <v>267</v>
      </c>
      <c r="C117" s="222" t="s">
        <v>2</v>
      </c>
      <c r="D117" s="183">
        <v>100</v>
      </c>
      <c r="E117" s="183"/>
      <c r="F117" s="213"/>
      <c r="G117" s="213"/>
      <c r="H117" s="213"/>
      <c r="I117" s="213"/>
      <c r="J117" s="213"/>
      <c r="K117" s="213"/>
      <c r="L117" s="213"/>
      <c r="M117" s="213"/>
      <c r="N117" s="213"/>
      <c r="O117" s="213"/>
      <c r="P117" s="213"/>
      <c r="Q117" s="213"/>
      <c r="R117" s="213"/>
      <c r="S117" s="213"/>
    </row>
    <row r="118" spans="2:19" x14ac:dyDescent="0.25">
      <c r="B118" s="192" t="s">
        <v>250</v>
      </c>
      <c r="C118" s="222" t="s">
        <v>2</v>
      </c>
      <c r="D118" s="183">
        <f>D112*100/$D$110</f>
        <v>52.682613468386023</v>
      </c>
      <c r="E118" s="183"/>
      <c r="F118" s="183">
        <f>F112*100/F110</f>
        <v>51.988040658716677</v>
      </c>
      <c r="G118" s="183">
        <f t="shared" ref="G118:S118" si="66">G112*100/G110</f>
        <v>55.928862924668429</v>
      </c>
      <c r="H118" s="183">
        <f t="shared" si="66"/>
        <v>54.328025238864278</v>
      </c>
      <c r="I118" s="183">
        <f t="shared" si="66"/>
        <v>52.268069905362921</v>
      </c>
      <c r="J118" s="183">
        <f t="shared" si="66"/>
        <v>52.264505555873804</v>
      </c>
      <c r="K118" s="183">
        <f t="shared" si="66"/>
        <v>52.251970825359429</v>
      </c>
      <c r="L118" s="183">
        <f t="shared" si="66"/>
        <v>52.239687709294216</v>
      </c>
      <c r="M118" s="183">
        <f t="shared" si="66"/>
        <v>52.227651043509979</v>
      </c>
      <c r="N118" s="183">
        <f t="shared" si="66"/>
        <v>52.215855774280904</v>
      </c>
      <c r="O118" s="183">
        <f t="shared" si="66"/>
        <v>52.204296955787783</v>
      </c>
      <c r="P118" s="183">
        <f t="shared" si="66"/>
        <v>52.192969747647126</v>
      </c>
      <c r="Q118" s="183">
        <f t="shared" si="66"/>
        <v>52.192969747647126</v>
      </c>
      <c r="R118" s="183">
        <f t="shared" si="66"/>
        <v>52.192969747647126</v>
      </c>
      <c r="S118" s="183">
        <f t="shared" si="66"/>
        <v>55.358153872661624</v>
      </c>
    </row>
    <row r="119" spans="2:19" x14ac:dyDescent="0.25">
      <c r="B119" s="195" t="s">
        <v>366</v>
      </c>
      <c r="C119" s="222" t="s">
        <v>2</v>
      </c>
      <c r="D119" s="183">
        <f>D113*100/$D$110</f>
        <v>5.4917837635317328</v>
      </c>
      <c r="E119" s="183"/>
      <c r="F119" s="183">
        <f>F113*100/F110</f>
        <v>5.6741960064064747</v>
      </c>
      <c r="G119" s="183">
        <f t="shared" ref="G119:S119" si="67">G113*100/G110</f>
        <v>5.3817970778847251</v>
      </c>
      <c r="H119" s="183">
        <f t="shared" si="67"/>
        <v>5.3982255427562782</v>
      </c>
      <c r="I119" s="183">
        <f t="shared" si="67"/>
        <v>5.5819852201117621</v>
      </c>
      <c r="J119" s="183">
        <f t="shared" si="67"/>
        <v>5.5884239274019736</v>
      </c>
      <c r="K119" s="183">
        <f t="shared" si="67"/>
        <v>5.6110668980169232</v>
      </c>
      <c r="L119" s="183">
        <f t="shared" si="67"/>
        <v>5.6332553476055294</v>
      </c>
      <c r="M119" s="183">
        <f t="shared" si="67"/>
        <v>5.6549986048173535</v>
      </c>
      <c r="N119" s="183">
        <f t="shared" si="67"/>
        <v>5.6763057987967827</v>
      </c>
      <c r="O119" s="183">
        <f t="shared" si="67"/>
        <v>5.6971858637637292</v>
      </c>
      <c r="P119" s="183">
        <f t="shared" si="67"/>
        <v>5.7176475434770921</v>
      </c>
      <c r="Q119" s="183">
        <f t="shared" si="67"/>
        <v>5.7176475434770913</v>
      </c>
      <c r="R119" s="183">
        <f t="shared" si="67"/>
        <v>5.7176475434770921</v>
      </c>
      <c r="S119" s="183">
        <f t="shared" si="67"/>
        <v>0</v>
      </c>
    </row>
    <row r="120" spans="2:19" x14ac:dyDescent="0.25">
      <c r="B120" s="192" t="s">
        <v>251</v>
      </c>
      <c r="C120" s="222" t="s">
        <v>2</v>
      </c>
      <c r="D120" s="183">
        <f>D114*100/$D$110</f>
        <v>20.383313922779461</v>
      </c>
      <c r="E120" s="183"/>
      <c r="F120" s="183">
        <f>F114*100/F110</f>
        <v>19.513579031029668</v>
      </c>
      <c r="G120" s="183">
        <f t="shared" ref="G120:S120" si="68">G114*100/G110</f>
        <v>19.003969187252391</v>
      </c>
      <c r="H120" s="183">
        <f t="shared" si="68"/>
        <v>20.52828687776147</v>
      </c>
      <c r="I120" s="183">
        <f t="shared" si="68"/>
        <v>20.535626918118503</v>
      </c>
      <c r="J120" s="183">
        <f t="shared" si="68"/>
        <v>20.534226519147456</v>
      </c>
      <c r="K120" s="183">
        <f t="shared" si="68"/>
        <v>20.529301742896322</v>
      </c>
      <c r="L120" s="183">
        <f t="shared" si="68"/>
        <v>20.524475823566149</v>
      </c>
      <c r="M120" s="183">
        <f t="shared" si="68"/>
        <v>20.519746732204425</v>
      </c>
      <c r="N120" s="183">
        <f t="shared" si="68"/>
        <v>20.515112483250416</v>
      </c>
      <c r="O120" s="183">
        <f t="shared" si="68"/>
        <v>20.510571133538846</v>
      </c>
      <c r="P120" s="183">
        <f t="shared" si="68"/>
        <v>20.506120781329138</v>
      </c>
      <c r="Q120" s="183">
        <f t="shared" si="68"/>
        <v>20.506120781329134</v>
      </c>
      <c r="R120" s="183">
        <f t="shared" si="68"/>
        <v>20.506120781329145</v>
      </c>
      <c r="S120" s="183">
        <f t="shared" si="68"/>
        <v>21.749691482067405</v>
      </c>
    </row>
    <row r="121" spans="2:19" x14ac:dyDescent="0.25">
      <c r="B121" s="192" t="s">
        <v>252</v>
      </c>
      <c r="C121" s="222" t="s">
        <v>2</v>
      </c>
      <c r="D121" s="183">
        <f>D115*100/$D$110</f>
        <v>7.6562145336170504</v>
      </c>
      <c r="E121" s="183"/>
      <c r="F121" s="183">
        <f>F115*100/F110</f>
        <v>8.8276752628560651</v>
      </c>
      <c r="G121" s="183">
        <f t="shared" ref="G121:S121" si="69">G115*100/G110</f>
        <v>7.2396924342515518</v>
      </c>
      <c r="H121" s="183">
        <f t="shared" si="69"/>
        <v>7.2617923074195136</v>
      </c>
      <c r="I121" s="183">
        <f t="shared" si="69"/>
        <v>7.6276082555509461</v>
      </c>
      <c r="J121" s="183">
        <f t="shared" si="69"/>
        <v>7.6270881012456888</v>
      </c>
      <c r="K121" s="183">
        <f t="shared" si="69"/>
        <v>7.6252588771299754</v>
      </c>
      <c r="L121" s="183">
        <f t="shared" si="69"/>
        <v>7.6234663717309354</v>
      </c>
      <c r="M121" s="183">
        <f t="shared" si="69"/>
        <v>7.6217098314287686</v>
      </c>
      <c r="N121" s="183">
        <f t="shared" si="69"/>
        <v>7.6199885187208167</v>
      </c>
      <c r="O121" s="183">
        <f t="shared" si="69"/>
        <v>7.618301711851494</v>
      </c>
      <c r="P121" s="183">
        <f t="shared" si="69"/>
        <v>7.6166487044517091</v>
      </c>
      <c r="Q121" s="183">
        <f t="shared" si="69"/>
        <v>7.6166487044517099</v>
      </c>
      <c r="R121" s="183">
        <f t="shared" si="69"/>
        <v>7.6166487044517126</v>
      </c>
      <c r="S121" s="183">
        <f t="shared" si="69"/>
        <v>8.0785518243873167</v>
      </c>
    </row>
    <row r="122" spans="2:19" x14ac:dyDescent="0.25">
      <c r="B122" s="192" t="s">
        <v>253</v>
      </c>
      <c r="C122" s="222" t="s">
        <v>2</v>
      </c>
      <c r="D122" s="183">
        <f>D116*100/$D$110</f>
        <v>13.786074311685745</v>
      </c>
      <c r="E122" s="183"/>
      <c r="F122" s="183">
        <f>F116*100/F110</f>
        <v>13.996509040991127</v>
      </c>
      <c r="G122" s="183">
        <f t="shared" ref="G122:S122" si="70">G116*100/G110</f>
        <v>12.445678375942903</v>
      </c>
      <c r="H122" s="183">
        <f t="shared" si="70"/>
        <v>12.483670033198441</v>
      </c>
      <c r="I122" s="183">
        <f t="shared" si="70"/>
        <v>13.986709700855855</v>
      </c>
      <c r="J122" s="183">
        <f t="shared" si="70"/>
        <v>13.98575589633109</v>
      </c>
      <c r="K122" s="183">
        <f t="shared" si="70"/>
        <v>13.982401656597332</v>
      </c>
      <c r="L122" s="183">
        <f t="shared" si="70"/>
        <v>13.97911474780317</v>
      </c>
      <c r="M122" s="183">
        <f t="shared" si="70"/>
        <v>13.975893788039485</v>
      </c>
      <c r="N122" s="183">
        <f t="shared" si="70"/>
        <v>13.972737424951099</v>
      </c>
      <c r="O122" s="183">
        <f t="shared" si="70"/>
        <v>13.969644335058149</v>
      </c>
      <c r="P122" s="183">
        <f t="shared" si="70"/>
        <v>13.96661322309493</v>
      </c>
      <c r="Q122" s="183">
        <f t="shared" si="70"/>
        <v>13.96661322309493</v>
      </c>
      <c r="R122" s="183">
        <f t="shared" si="70"/>
        <v>13.966613223094935</v>
      </c>
      <c r="S122" s="183">
        <f t="shared" si="70"/>
        <v>14.813602820883638</v>
      </c>
    </row>
    <row r="123" spans="2:19" ht="26.4" x14ac:dyDescent="0.25">
      <c r="B123" s="223" t="s">
        <v>268</v>
      </c>
      <c r="C123" s="224" t="s">
        <v>269</v>
      </c>
      <c r="D123" s="165">
        <f t="shared" ref="D123:D125" si="71">SUM(F123:S123)</f>
        <v>233670.63447786268</v>
      </c>
      <c r="E123" s="225"/>
      <c r="F123" s="226">
        <f t="shared" ref="F123:S123" si="72">F110/F87*1000</f>
        <v>15549.730087095671</v>
      </c>
      <c r="G123" s="226">
        <f t="shared" si="72"/>
        <v>15966.711163121578</v>
      </c>
      <c r="H123" s="226">
        <f t="shared" si="72"/>
        <v>15918.119537710596</v>
      </c>
      <c r="I123" s="226">
        <f t="shared" si="72"/>
        <v>15378.683840275598</v>
      </c>
      <c r="J123" s="226">
        <f t="shared" si="72"/>
        <v>15687.32729289497</v>
      </c>
      <c r="K123" s="226">
        <f t="shared" si="72"/>
        <v>16004.912337958576</v>
      </c>
      <c r="L123" s="226">
        <f t="shared" si="72"/>
        <v>16328.849083923436</v>
      </c>
      <c r="M123" s="226">
        <f t="shared" si="72"/>
        <v>16659.264564807603</v>
      </c>
      <c r="N123" s="226">
        <f t="shared" si="72"/>
        <v>16996.288355309454</v>
      </c>
      <c r="O123" s="226">
        <f t="shared" si="72"/>
        <v>17340.052621621344</v>
      </c>
      <c r="P123" s="226">
        <f t="shared" si="72"/>
        <v>17690.692173259471</v>
      </c>
      <c r="Q123" s="226">
        <f t="shared" si="72"/>
        <v>18044.506016724659</v>
      </c>
      <c r="R123" s="226">
        <f t="shared" si="72"/>
        <v>18405.39613705915</v>
      </c>
      <c r="S123" s="226">
        <f t="shared" si="72"/>
        <v>17700.101266100592</v>
      </c>
    </row>
    <row r="124" spans="2:19" x14ac:dyDescent="0.25">
      <c r="B124" s="214" t="s">
        <v>270</v>
      </c>
      <c r="C124" s="168"/>
      <c r="D124" s="183"/>
      <c r="E124" s="183"/>
      <c r="F124" s="168"/>
      <c r="G124" s="211"/>
      <c r="H124" s="211"/>
      <c r="I124" s="211"/>
      <c r="J124" s="211"/>
      <c r="K124" s="211"/>
      <c r="L124" s="211"/>
      <c r="M124" s="211"/>
      <c r="N124" s="211"/>
      <c r="O124" s="211"/>
      <c r="P124" s="211"/>
      <c r="Q124" s="211"/>
      <c r="R124" s="211"/>
      <c r="S124" s="211"/>
    </row>
    <row r="125" spans="2:19" x14ac:dyDescent="0.25">
      <c r="B125" s="651" t="s">
        <v>32</v>
      </c>
      <c r="C125" s="553" t="s">
        <v>271</v>
      </c>
      <c r="D125" s="165">
        <f t="shared" si="71"/>
        <v>1313417.6236792614</v>
      </c>
      <c r="E125" s="177"/>
      <c r="F125" s="227">
        <f>F129+F131+F133+F135+F137+F139</f>
        <v>76907.715864116093</v>
      </c>
      <c r="G125" s="227">
        <f t="shared" ref="G125:S125" si="73">G129+G131+G133+G135+G137+G139</f>
        <v>80623.896694670198</v>
      </c>
      <c r="H125" s="227">
        <f t="shared" si="73"/>
        <v>89517.332683913046</v>
      </c>
      <c r="I125" s="227">
        <f t="shared" si="73"/>
        <v>99460.150707019071</v>
      </c>
      <c r="J125" s="227">
        <f t="shared" si="73"/>
        <v>101449.35372115945</v>
      </c>
      <c r="K125" s="227">
        <f t="shared" si="73"/>
        <v>103478.34079558266</v>
      </c>
      <c r="L125" s="227">
        <f t="shared" si="73"/>
        <v>105547.9076114943</v>
      </c>
      <c r="M125" s="227">
        <f t="shared" si="73"/>
        <v>107658.8657637242</v>
      </c>
      <c r="N125" s="227">
        <f t="shared" si="73"/>
        <v>109812.04307899867</v>
      </c>
      <c r="O125" s="227">
        <f t="shared" si="73"/>
        <v>112008.28394057865</v>
      </c>
      <c r="P125" s="227">
        <f t="shared" si="73"/>
        <v>114248.44961939023</v>
      </c>
      <c r="Q125" s="227">
        <f t="shared" si="73"/>
        <v>116533.41861177803</v>
      </c>
      <c r="R125" s="227">
        <f t="shared" si="73"/>
        <v>63394.179724807254</v>
      </c>
      <c r="S125" s="227">
        <f t="shared" si="73"/>
        <v>32777.68486202979</v>
      </c>
    </row>
    <row r="126" spans="2:19" x14ac:dyDescent="0.25">
      <c r="B126" s="652"/>
      <c r="C126" s="564" t="s">
        <v>3</v>
      </c>
      <c r="D126" s="228">
        <f>D125/D22</f>
        <v>70.403676834373968</v>
      </c>
      <c r="E126" s="228"/>
      <c r="F126" s="228">
        <f t="shared" ref="F126:S126" si="74">F125/F22</f>
        <v>61.526172691292878</v>
      </c>
      <c r="G126" s="228">
        <f t="shared" si="74"/>
        <v>62.018382072823229</v>
      </c>
      <c r="H126" s="228">
        <f t="shared" si="74"/>
        <v>63.940951917080746</v>
      </c>
      <c r="I126" s="228">
        <f t="shared" si="74"/>
        <v>66.306767138012717</v>
      </c>
      <c r="J126" s="228">
        <f t="shared" si="74"/>
        <v>67.63290248077297</v>
      </c>
      <c r="K126" s="228">
        <f t="shared" si="74"/>
        <v>68.98556053038844</v>
      </c>
      <c r="L126" s="228">
        <f t="shared" si="74"/>
        <v>70.365271740996207</v>
      </c>
      <c r="M126" s="228">
        <f t="shared" si="74"/>
        <v>71.772577175816139</v>
      </c>
      <c r="N126" s="228">
        <f t="shared" si="74"/>
        <v>73.208028719332447</v>
      </c>
      <c r="O126" s="228">
        <f t="shared" si="74"/>
        <v>74.6721892937191</v>
      </c>
      <c r="P126" s="228">
        <f t="shared" si="74"/>
        <v>76.165633079593491</v>
      </c>
      <c r="Q126" s="228">
        <f t="shared" si="74"/>
        <v>77.68894574118535</v>
      </c>
      <c r="R126" s="228">
        <f t="shared" si="74"/>
        <v>79.242724656009074</v>
      </c>
      <c r="S126" s="228">
        <f t="shared" si="74"/>
        <v>80.827579149129249</v>
      </c>
    </row>
    <row r="127" spans="2:19" x14ac:dyDescent="0.25">
      <c r="B127" s="168" t="s">
        <v>272</v>
      </c>
      <c r="C127" s="168"/>
      <c r="D127" s="183"/>
      <c r="E127" s="183"/>
      <c r="F127" s="168"/>
      <c r="G127" s="211"/>
      <c r="H127" s="211"/>
      <c r="I127" s="211"/>
      <c r="J127" s="211"/>
      <c r="K127" s="211"/>
      <c r="L127" s="211"/>
      <c r="M127" s="211"/>
      <c r="N127" s="211"/>
      <c r="O127" s="211"/>
      <c r="P127" s="211"/>
      <c r="Q127" s="211"/>
      <c r="R127" s="211"/>
      <c r="S127" s="211"/>
    </row>
    <row r="128" spans="2:19" ht="15.6" x14ac:dyDescent="0.25">
      <c r="B128" s="672" t="s">
        <v>273</v>
      </c>
      <c r="C128" s="193" t="s">
        <v>545</v>
      </c>
      <c r="D128" s="172">
        <f>AVERAGE(F128:S128)</f>
        <v>136.79533984431862</v>
      </c>
      <c r="E128" s="172"/>
      <c r="F128" s="219">
        <f>'И. Д.'!F61</f>
        <v>118.5</v>
      </c>
      <c r="G128" s="219">
        <f>F128*(1+'цены и инфл'!E29)</f>
        <v>119.44800000000001</v>
      </c>
      <c r="H128" s="219">
        <f>G128*(1+'цены и инфл'!F29)</f>
        <v>123.15088799999999</v>
      </c>
      <c r="I128" s="219">
        <f>H128*(1+'цены и инфл'!G29)</f>
        <v>127.70747085599999</v>
      </c>
      <c r="J128" s="219">
        <f>I128*(1+'цены и инфл'!H29)</f>
        <v>130.26162027312</v>
      </c>
      <c r="K128" s="219">
        <f>J128*(1+'цены и инфл'!I29)</f>
        <v>132.8668526785824</v>
      </c>
      <c r="L128" s="219">
        <f>K128*(1+'цены и инфл'!J29)</f>
        <v>135.52418973215404</v>
      </c>
      <c r="M128" s="219">
        <f>L128*(1+'цены и инфл'!K29)</f>
        <v>138.23467352679714</v>
      </c>
      <c r="N128" s="219">
        <f>M128*(1+'цены и инфл'!L29)</f>
        <v>140.99936699733308</v>
      </c>
      <c r="O128" s="219">
        <f>N128*(1+'цены и инфл'!M29)</f>
        <v>143.81935433727975</v>
      </c>
      <c r="P128" s="219">
        <f>O128*(1+'цены и инфл'!N29)</f>
        <v>146.69574142402536</v>
      </c>
      <c r="Q128" s="219">
        <f>P128*(1+'цены и инфл'!O29)</f>
        <v>149.62965625250587</v>
      </c>
      <c r="R128" s="219">
        <f>Q128*(1+'цены и инфл'!P29)</f>
        <v>152.62224937755599</v>
      </c>
      <c r="S128" s="219">
        <f>R128*(1+'цены и инфл'!Q29)</f>
        <v>155.67469436510711</v>
      </c>
    </row>
    <row r="129" spans="2:19" x14ac:dyDescent="0.25">
      <c r="B129" s="673"/>
      <c r="C129" s="209" t="s">
        <v>271</v>
      </c>
      <c r="D129" s="165">
        <f t="shared" ref="D129" si="75">SUM(F129:S129)</f>
        <v>112063.71507911498</v>
      </c>
      <c r="E129" s="167"/>
      <c r="F129" s="211">
        <f>F128*F96</f>
        <v>6561.9375</v>
      </c>
      <c r="G129" s="211">
        <f t="shared" ref="G129:S129" si="76">G128*G96</f>
        <v>6879.0103199999994</v>
      </c>
      <c r="H129" s="211">
        <f t="shared" si="76"/>
        <v>7637.8180737599996</v>
      </c>
      <c r="I129" s="211">
        <f t="shared" si="76"/>
        <v>8486.1614383811993</v>
      </c>
      <c r="J129" s="211">
        <f t="shared" si="76"/>
        <v>8655.8846671488245</v>
      </c>
      <c r="K129" s="211">
        <f t="shared" si="76"/>
        <v>8829.0023604918006</v>
      </c>
      <c r="L129" s="211">
        <f t="shared" si="76"/>
        <v>9005.5824077016368</v>
      </c>
      <c r="M129" s="211">
        <f t="shared" si="76"/>
        <v>9185.6940558556707</v>
      </c>
      <c r="N129" s="211">
        <f t="shared" si="76"/>
        <v>9369.4079369727842</v>
      </c>
      <c r="O129" s="211">
        <f t="shared" si="76"/>
        <v>9556.7960957122395</v>
      </c>
      <c r="P129" s="211">
        <f t="shared" si="76"/>
        <v>9747.9320176264846</v>
      </c>
      <c r="Q129" s="211">
        <f t="shared" si="76"/>
        <v>9942.8906579790146</v>
      </c>
      <c r="R129" s="211">
        <f t="shared" si="76"/>
        <v>5408.9325179405841</v>
      </c>
      <c r="S129" s="211">
        <f t="shared" si="76"/>
        <v>2796.6650295447262</v>
      </c>
    </row>
    <row r="130" spans="2:19" x14ac:dyDescent="0.25">
      <c r="B130" s="672" t="s">
        <v>274</v>
      </c>
      <c r="C130" s="193" t="s">
        <v>275</v>
      </c>
      <c r="D130" s="172">
        <f>AVERAGE(F130:S130)</f>
        <v>17.292777982007532</v>
      </c>
      <c r="E130" s="172"/>
      <c r="F130" s="219">
        <f>'И. Д.'!F62</f>
        <v>14.98</v>
      </c>
      <c r="G130" s="219">
        <f>F130*(1+'цены и инфл'!E29)</f>
        <v>15.09984</v>
      </c>
      <c r="H130" s="219">
        <f>G130*(1+'цены и инфл'!F29)</f>
        <v>15.567935039999998</v>
      </c>
      <c r="I130" s="219">
        <f>H130*(1+'цены и инфл'!G29)</f>
        <v>16.143948636479998</v>
      </c>
      <c r="J130" s="219">
        <f>I130*(1+'цены и инфл'!H29)</f>
        <v>16.466827609209599</v>
      </c>
      <c r="K130" s="219">
        <f>J130*(1+'цены и инфл'!I29)</f>
        <v>16.79616416139379</v>
      </c>
      <c r="L130" s="219">
        <f>K130*(1+'цены и инфл'!J29)</f>
        <v>17.132087444621668</v>
      </c>
      <c r="M130" s="219">
        <f>L130*(1+'цены и инфл'!K29)</f>
        <v>17.474729193514101</v>
      </c>
      <c r="N130" s="219">
        <f>M130*(1+'цены и инфл'!L29)</f>
        <v>17.824223777384383</v>
      </c>
      <c r="O130" s="219">
        <f>N130*(1+'цены и инфл'!M29)</f>
        <v>18.180708252932071</v>
      </c>
      <c r="P130" s="219">
        <f>O130*(1+'цены и инфл'!N29)</f>
        <v>18.544322417990713</v>
      </c>
      <c r="Q130" s="219">
        <f>P130*(1+'цены и инфл'!O29)</f>
        <v>18.915208866350529</v>
      </c>
      <c r="R130" s="219">
        <f>Q130*(1+'цены и инфл'!P29)</f>
        <v>19.293513043677539</v>
      </c>
      <c r="S130" s="219">
        <f>R130*(1+'цены и инфл'!Q29)</f>
        <v>19.679383304551092</v>
      </c>
    </row>
    <row r="131" spans="2:19" x14ac:dyDescent="0.25">
      <c r="B131" s="673"/>
      <c r="C131" s="209" t="s">
        <v>271</v>
      </c>
      <c r="D131" s="165">
        <f t="shared" ref="D131" si="77">SUM(F131:S131)</f>
        <v>319782.54362471873</v>
      </c>
      <c r="E131" s="167"/>
      <c r="F131" s="211">
        <f>F130*F95</f>
        <v>18725</v>
      </c>
      <c r="G131" s="211">
        <f t="shared" ref="G131:S131" si="78">G130*G95</f>
        <v>19629.792000000001</v>
      </c>
      <c r="H131" s="211">
        <f t="shared" si="78"/>
        <v>21795.109055999998</v>
      </c>
      <c r="I131" s="211">
        <f t="shared" si="78"/>
        <v>24215.922954719998</v>
      </c>
      <c r="J131" s="211">
        <f t="shared" si="78"/>
        <v>24700.241413814398</v>
      </c>
      <c r="K131" s="211">
        <f t="shared" si="78"/>
        <v>25194.246242090685</v>
      </c>
      <c r="L131" s="211">
        <f t="shared" si="78"/>
        <v>25698.1311669325</v>
      </c>
      <c r="M131" s="211">
        <f t="shared" si="78"/>
        <v>26212.093790271152</v>
      </c>
      <c r="N131" s="211">
        <f t="shared" si="78"/>
        <v>26736.335666076575</v>
      </c>
      <c r="O131" s="211">
        <f t="shared" si="78"/>
        <v>27271.062379398107</v>
      </c>
      <c r="P131" s="211">
        <f t="shared" si="78"/>
        <v>27816.483626986072</v>
      </c>
      <c r="Q131" s="211">
        <f t="shared" si="78"/>
        <v>28372.813299525795</v>
      </c>
      <c r="R131" s="211">
        <f t="shared" si="78"/>
        <v>15434.810434942032</v>
      </c>
      <c r="S131" s="211">
        <f t="shared" si="78"/>
        <v>7980.5015939613859</v>
      </c>
    </row>
    <row r="132" spans="2:19" ht="15.6" x14ac:dyDescent="0.25">
      <c r="B132" s="672" t="s">
        <v>392</v>
      </c>
      <c r="C132" s="193" t="s">
        <v>545</v>
      </c>
      <c r="D132" s="172">
        <f>AVERAGE(F132:S132)</f>
        <v>32.011263914624102</v>
      </c>
      <c r="E132" s="172"/>
      <c r="F132" s="219">
        <f>'И. Д.'!F63</f>
        <v>27.73</v>
      </c>
      <c r="G132" s="219">
        <f>F132*(1+'цены и инфл'!E29)</f>
        <v>27.951840000000001</v>
      </c>
      <c r="H132" s="219">
        <f>G132*(1+'цены и инфл'!F29)</f>
        <v>28.818347039999999</v>
      </c>
      <c r="I132" s="219">
        <f>H132*(1+'цены и инфл'!G29)</f>
        <v>29.884625880479998</v>
      </c>
      <c r="J132" s="219">
        <f>I132*(1+'цены и инфл'!H29)</f>
        <v>30.4823183980896</v>
      </c>
      <c r="K132" s="219">
        <f>J132*(1+'цены и инфл'!I29)</f>
        <v>31.091964766051394</v>
      </c>
      <c r="L132" s="219">
        <f>K132*(1+'цены и инфл'!J29)</f>
        <v>31.713804061372421</v>
      </c>
      <c r="M132" s="219">
        <f>L132*(1+'цены и инфл'!K29)</f>
        <v>32.348080142599869</v>
      </c>
      <c r="N132" s="219">
        <f>M132*(1+'цены и инфл'!L29)</f>
        <v>32.995041745451864</v>
      </c>
      <c r="O132" s="219">
        <f>N132*(1+'цены и инфл'!M29)</f>
        <v>33.654942580360903</v>
      </c>
      <c r="P132" s="219">
        <f>O132*(1+'цены и инфл'!N29)</f>
        <v>34.328041431968124</v>
      </c>
      <c r="Q132" s="219">
        <f>P132*(1+'цены и инфл'!O29)</f>
        <v>35.014602260607489</v>
      </c>
      <c r="R132" s="219">
        <f>Q132*(1+'цены и инфл'!P29)</f>
        <v>35.714894305819641</v>
      </c>
      <c r="S132" s="219">
        <f>R132*(1+'цены и инфл'!Q29)</f>
        <v>36.429192191936032</v>
      </c>
    </row>
    <row r="133" spans="2:19" x14ac:dyDescent="0.25">
      <c r="B133" s="673"/>
      <c r="C133" s="209" t="s">
        <v>271</v>
      </c>
      <c r="D133" s="165">
        <f t="shared" ref="D133" si="79">SUM(F133:S133)</f>
        <v>156190.13451027844</v>
      </c>
      <c r="E133" s="167"/>
      <c r="F133" s="211">
        <f>F132*F97</f>
        <v>9145.778364116095</v>
      </c>
      <c r="G133" s="211">
        <f t="shared" ref="G133:S133" si="80">G132*G97</f>
        <v>9587.7023746701852</v>
      </c>
      <c r="H133" s="211">
        <f t="shared" si="80"/>
        <v>10645.299698153034</v>
      </c>
      <c r="I133" s="211">
        <f t="shared" si="80"/>
        <v>11827.688343197888</v>
      </c>
      <c r="J133" s="211">
        <f t="shared" si="80"/>
        <v>12064.242110061847</v>
      </c>
      <c r="K133" s="211">
        <f t="shared" si="80"/>
        <v>12305.526952263084</v>
      </c>
      <c r="L133" s="211">
        <f t="shared" si="80"/>
        <v>12551.637491308345</v>
      </c>
      <c r="M133" s="211">
        <f t="shared" si="80"/>
        <v>12802.670241134512</v>
      </c>
      <c r="N133" s="211">
        <f t="shared" si="80"/>
        <v>13058.723645957201</v>
      </c>
      <c r="O133" s="211">
        <f t="shared" si="80"/>
        <v>13319.898118876346</v>
      </c>
      <c r="P133" s="211">
        <f t="shared" si="80"/>
        <v>13586.296081253875</v>
      </c>
      <c r="Q133" s="211">
        <f t="shared" si="80"/>
        <v>13858.022002878954</v>
      </c>
      <c r="R133" s="211">
        <f t="shared" si="80"/>
        <v>7538.763969566151</v>
      </c>
      <c r="S133" s="211">
        <f t="shared" si="80"/>
        <v>3897.885116840911</v>
      </c>
    </row>
    <row r="134" spans="2:19" x14ac:dyDescent="0.25">
      <c r="B134" s="674" t="s">
        <v>403</v>
      </c>
      <c r="C134" s="582" t="s">
        <v>39</v>
      </c>
      <c r="D134" s="554">
        <f>AVERAGE(F134:U134)</f>
        <v>69.713675723193276</v>
      </c>
      <c r="E134" s="167"/>
      <c r="F134" s="211">
        <f>'И. Д.'!F64</f>
        <v>60.39</v>
      </c>
      <c r="G134" s="211">
        <f>F134*(1+'цены и инфл'!E29)</f>
        <v>60.87312</v>
      </c>
      <c r="H134" s="211">
        <f>G134*(1+'цены и инфл'!F29)</f>
        <v>62.760186719999993</v>
      </c>
      <c r="I134" s="211">
        <f>H134*(1+'цены и инфл'!G29)</f>
        <v>65.082313628639994</v>
      </c>
      <c r="J134" s="211">
        <f>I134*(1+'цены и инфл'!H29)</f>
        <v>66.383959901212791</v>
      </c>
      <c r="K134" s="211">
        <f>J134*(1+'цены и инфл'!I29)</f>
        <v>67.711639099237047</v>
      </c>
      <c r="L134" s="211">
        <f>K134*(1+'цены и инфл'!J29)</f>
        <v>69.065871881221796</v>
      </c>
      <c r="M134" s="211">
        <f>L134*(1+'цены и инфл'!K29)</f>
        <v>70.447189318846227</v>
      </c>
      <c r="N134" s="211">
        <f>M134*(1+'цены и инфл'!L29)</f>
        <v>71.856133105223151</v>
      </c>
      <c r="O134" s="211">
        <f>N134*(1+'цены и инфл'!M29)</f>
        <v>73.293255767327622</v>
      </c>
      <c r="P134" s="211">
        <f>O134*(1+'цены и инфл'!N29)</f>
        <v>74.759120882674182</v>
      </c>
      <c r="Q134" s="211">
        <f>P134*(1+'цены и инфл'!O29)</f>
        <v>76.254303300327663</v>
      </c>
      <c r="R134" s="211">
        <f>Q134*(1+'цены и инфл'!P29)</f>
        <v>77.779389366334215</v>
      </c>
      <c r="S134" s="211">
        <f>R134*(1+'цены и инфл'!Q29)</f>
        <v>79.334977153660901</v>
      </c>
    </row>
    <row r="135" spans="2:19" x14ac:dyDescent="0.25">
      <c r="B135" s="675"/>
      <c r="C135" s="556" t="s">
        <v>271</v>
      </c>
      <c r="D135" s="557">
        <f>SUM(F135:U135)</f>
        <v>0</v>
      </c>
      <c r="E135" s="167"/>
      <c r="F135" s="211"/>
      <c r="G135" s="211"/>
      <c r="H135" s="211"/>
      <c r="I135" s="211"/>
      <c r="J135" s="211"/>
      <c r="K135" s="211"/>
      <c r="L135" s="211"/>
      <c r="M135" s="211"/>
      <c r="N135" s="211"/>
      <c r="O135" s="211"/>
      <c r="P135" s="211"/>
      <c r="Q135" s="211"/>
      <c r="R135" s="211"/>
      <c r="S135" s="211"/>
    </row>
    <row r="136" spans="2:19" x14ac:dyDescent="0.25">
      <c r="B136" s="672" t="s">
        <v>276</v>
      </c>
      <c r="C136" s="193" t="s">
        <v>275</v>
      </c>
      <c r="D136" s="172">
        <f>AVERAGE(F136:S136)</f>
        <v>28.155597795805324</v>
      </c>
      <c r="E136" s="172"/>
      <c r="F136" s="219">
        <f>('И. Д.'!F65+'И. Д.'!F66)</f>
        <v>24.39</v>
      </c>
      <c r="G136" s="219">
        <f>F136*(1+'цены и инфл'!E29)</f>
        <v>24.58512</v>
      </c>
      <c r="H136" s="219">
        <f>G136*(1+'цены и инфл'!F29)</f>
        <v>25.347258719999999</v>
      </c>
      <c r="I136" s="219">
        <f>H136*(1+'цены и инфл'!G29)</f>
        <v>26.285107292639996</v>
      </c>
      <c r="J136" s="219">
        <f>I136*(1+'цены и инфл'!H29)</f>
        <v>26.810809438492797</v>
      </c>
      <c r="K136" s="219">
        <f>J136*(1+'цены и инфл'!I29)</f>
        <v>27.347025627262653</v>
      </c>
      <c r="L136" s="219">
        <f>K136*(1+'цены и инфл'!J29)</f>
        <v>27.893966139807905</v>
      </c>
      <c r="M136" s="219">
        <f>L136*(1+'цены и инфл'!K29)</f>
        <v>28.451845462604062</v>
      </c>
      <c r="N136" s="219">
        <f>M136*(1+'цены и инфл'!L29)</f>
        <v>29.020882371856143</v>
      </c>
      <c r="O136" s="219">
        <f>N136*(1+'цены и инфл'!M29)</f>
        <v>29.601300019293266</v>
      </c>
      <c r="P136" s="219">
        <f>O136*(1+'цены и инфл'!N29)</f>
        <v>30.19332601967913</v>
      </c>
      <c r="Q136" s="219">
        <f>P136*(1+'цены и инфл'!O29)</f>
        <v>30.797192540072714</v>
      </c>
      <c r="R136" s="219">
        <f>Q136*(1+'цены и инфл'!P29)</f>
        <v>31.413136390874168</v>
      </c>
      <c r="S136" s="219">
        <f>R136*(1+'цены и инфл'!Q29)</f>
        <v>32.04139911869165</v>
      </c>
    </row>
    <row r="137" spans="2:19" x14ac:dyDescent="0.25">
      <c r="B137" s="673"/>
      <c r="C137" s="209" t="s">
        <v>271</v>
      </c>
      <c r="D137" s="165">
        <f t="shared" ref="D137" si="81">SUM(F137:S137)</f>
        <v>520660.63010726892</v>
      </c>
      <c r="E137" s="167"/>
      <c r="F137" s="211">
        <f>F136*F95</f>
        <v>30487.5</v>
      </c>
      <c r="G137" s="211">
        <f t="shared" ref="G137:S137" si="82">G136*G95</f>
        <v>31960.655999999999</v>
      </c>
      <c r="H137" s="211">
        <f t="shared" si="82"/>
        <v>35486.162208000002</v>
      </c>
      <c r="I137" s="211">
        <f t="shared" si="82"/>
        <v>39427.660938959991</v>
      </c>
      <c r="J137" s="211">
        <f t="shared" si="82"/>
        <v>40216.214157739196</v>
      </c>
      <c r="K137" s="211">
        <f t="shared" si="82"/>
        <v>41020.538440893979</v>
      </c>
      <c r="L137" s="211">
        <f t="shared" si="82"/>
        <v>41840.949209711856</v>
      </c>
      <c r="M137" s="211">
        <f t="shared" si="82"/>
        <v>42677.768193906093</v>
      </c>
      <c r="N137" s="211">
        <f t="shared" si="82"/>
        <v>43531.323557784213</v>
      </c>
      <c r="O137" s="211">
        <f t="shared" si="82"/>
        <v>44401.9500289399</v>
      </c>
      <c r="P137" s="211">
        <f t="shared" si="82"/>
        <v>45289.989029518692</v>
      </c>
      <c r="Q137" s="211">
        <f t="shared" si="82"/>
        <v>46195.788810109072</v>
      </c>
      <c r="R137" s="211">
        <f t="shared" si="82"/>
        <v>25130.509112699336</v>
      </c>
      <c r="S137" s="211">
        <f t="shared" si="82"/>
        <v>12993.620419006551</v>
      </c>
    </row>
    <row r="138" spans="2:19" x14ac:dyDescent="0.25">
      <c r="B138" s="672" t="s">
        <v>277</v>
      </c>
      <c r="C138" s="193" t="s">
        <v>275</v>
      </c>
      <c r="D138" s="172">
        <f>AVERAGE(F138:S138)</f>
        <v>11.070610203434727</v>
      </c>
      <c r="E138" s="172"/>
      <c r="F138" s="219">
        <f>'И. Д.'!F67</f>
        <v>9.59</v>
      </c>
      <c r="G138" s="219">
        <f>F138*(1+'цены и инфл'!E29)</f>
        <v>9.6667199999999998</v>
      </c>
      <c r="H138" s="219">
        <f>G138*(1+'цены и инфл'!F29)</f>
        <v>9.9663883199999983</v>
      </c>
      <c r="I138" s="219">
        <f>H138*(1+'цены и инфл'!G29)</f>
        <v>10.335144687839998</v>
      </c>
      <c r="J138" s="219">
        <f>I138*(1+'цены и инфл'!H29)</f>
        <v>10.541847581596798</v>
      </c>
      <c r="K138" s="219">
        <f>J138*(1+'цены и инфл'!I29)</f>
        <v>10.752684533228734</v>
      </c>
      <c r="L138" s="219">
        <f>K138*(1+'цены и инфл'!J29)</f>
        <v>10.96773822389331</v>
      </c>
      <c r="M138" s="219">
        <f>L138*(1+'цены и инфл'!K29)</f>
        <v>11.187092988371177</v>
      </c>
      <c r="N138" s="219">
        <f>M138*(1+'цены и инфл'!L29)</f>
        <v>11.410834848138601</v>
      </c>
      <c r="O138" s="219">
        <f>N138*(1+'цены и инфл'!M29)</f>
        <v>11.639051545101372</v>
      </c>
      <c r="P138" s="219">
        <f>O138*(1+'цены и инфл'!N29)</f>
        <v>11.871832576003399</v>
      </c>
      <c r="Q138" s="219">
        <f>P138*(1+'цены и инфл'!O29)</f>
        <v>12.109269227523468</v>
      </c>
      <c r="R138" s="219">
        <f>Q138*(1+'цены и инфл'!P29)</f>
        <v>12.351454612073937</v>
      </c>
      <c r="S138" s="219">
        <f>R138*(1+'цены и инфл'!Q29)</f>
        <v>12.598483704315417</v>
      </c>
    </row>
    <row r="139" spans="2:19" x14ac:dyDescent="0.25">
      <c r="B139" s="673"/>
      <c r="C139" s="209" t="s">
        <v>271</v>
      </c>
      <c r="D139" s="165">
        <f t="shared" ref="D139:D140" si="83">SUM(F139:S139)</f>
        <v>204720.60035788061</v>
      </c>
      <c r="E139" s="167"/>
      <c r="F139" s="211">
        <f>F138*F95</f>
        <v>11987.5</v>
      </c>
      <c r="G139" s="211">
        <f t="shared" ref="G139:S139" si="84">G138*G95</f>
        <v>12566.735999999999</v>
      </c>
      <c r="H139" s="211">
        <f t="shared" si="84"/>
        <v>13952.943647999997</v>
      </c>
      <c r="I139" s="211">
        <f t="shared" si="84"/>
        <v>15502.717031759998</v>
      </c>
      <c r="J139" s="211">
        <f t="shared" si="84"/>
        <v>15812.771372395197</v>
      </c>
      <c r="K139" s="211">
        <f t="shared" si="84"/>
        <v>16129.026799843101</v>
      </c>
      <c r="L139" s="211">
        <f t="shared" si="84"/>
        <v>16451.607335839966</v>
      </c>
      <c r="M139" s="211">
        <f t="shared" si="84"/>
        <v>16780.639482556766</v>
      </c>
      <c r="N139" s="211">
        <f t="shared" si="84"/>
        <v>17116.252272207901</v>
      </c>
      <c r="O139" s="211">
        <f t="shared" si="84"/>
        <v>17458.57731765206</v>
      </c>
      <c r="P139" s="211">
        <f t="shared" si="84"/>
        <v>17807.748864005098</v>
      </c>
      <c r="Q139" s="211">
        <f t="shared" si="84"/>
        <v>18163.903841285202</v>
      </c>
      <c r="R139" s="211">
        <f t="shared" si="84"/>
        <v>9881.1636896591499</v>
      </c>
      <c r="S139" s="211">
        <f t="shared" si="84"/>
        <v>5109.0127026762138</v>
      </c>
    </row>
    <row r="140" spans="2:19" x14ac:dyDescent="0.25">
      <c r="B140" s="660" t="s">
        <v>278</v>
      </c>
      <c r="C140" s="224" t="s">
        <v>271</v>
      </c>
      <c r="D140" s="165">
        <f t="shared" si="83"/>
        <v>942924.48711643135</v>
      </c>
      <c r="E140" s="177"/>
      <c r="F140" s="229">
        <f>F143+F151+F163</f>
        <v>55213.335978638388</v>
      </c>
      <c r="G140" s="229">
        <f>G143+G151+G163</f>
        <v>57881.244373126196</v>
      </c>
      <c r="H140" s="229">
        <f t="shared" ref="H140:S140" si="85">H143+H151+H163</f>
        <v>64265.990867823341</v>
      </c>
      <c r="I140" s="229">
        <f t="shared" si="85"/>
        <v>71404.106282070847</v>
      </c>
      <c r="J140" s="229">
        <f t="shared" si="85"/>
        <v>72832.188407712267</v>
      </c>
      <c r="K140" s="229">
        <f t="shared" si="85"/>
        <v>74288.832175866497</v>
      </c>
      <c r="L140" s="229">
        <f t="shared" si="85"/>
        <v>75774.608819383851</v>
      </c>
      <c r="M140" s="229">
        <f t="shared" si="85"/>
        <v>77290.100995771529</v>
      </c>
      <c r="N140" s="229">
        <f t="shared" si="85"/>
        <v>78835.903015686956</v>
      </c>
      <c r="O140" s="229">
        <f t="shared" si="85"/>
        <v>80412.621076000694</v>
      </c>
      <c r="P140" s="229">
        <f t="shared" si="85"/>
        <v>82020.87349752069</v>
      </c>
      <c r="Q140" s="229">
        <f t="shared" si="85"/>
        <v>83661.290967471112</v>
      </c>
      <c r="R140" s="229">
        <f t="shared" si="85"/>
        <v>45511.742286304288</v>
      </c>
      <c r="S140" s="229">
        <f t="shared" si="85"/>
        <v>23531.648373054686</v>
      </c>
    </row>
    <row r="141" spans="2:19" x14ac:dyDescent="0.25">
      <c r="B141" s="661"/>
      <c r="C141" s="564" t="s">
        <v>3</v>
      </c>
      <c r="D141" s="230">
        <f>D140/D36</f>
        <v>50.543977538689141</v>
      </c>
      <c r="E141" s="230"/>
      <c r="F141" s="230">
        <f t="shared" ref="F141:S141" si="86">F140/F36</f>
        <v>44.17066878291071</v>
      </c>
      <c r="G141" s="230">
        <f t="shared" si="86"/>
        <v>44.524034133173998</v>
      </c>
      <c r="H141" s="230">
        <f t="shared" si="86"/>
        <v>45.904279191302386</v>
      </c>
      <c r="I141" s="230">
        <f t="shared" si="86"/>
        <v>47.602737521380561</v>
      </c>
      <c r="J141" s="230">
        <f t="shared" si="86"/>
        <v>48.554792271808175</v>
      </c>
      <c r="K141" s="230">
        <f t="shared" si="86"/>
        <v>49.525888117244328</v>
      </c>
      <c r="L141" s="230">
        <f t="shared" si="86"/>
        <v>50.516405879589236</v>
      </c>
      <c r="M141" s="230">
        <f t="shared" si="86"/>
        <v>51.526733997181019</v>
      </c>
      <c r="N141" s="230">
        <f t="shared" si="86"/>
        <v>52.55726867712464</v>
      </c>
      <c r="O141" s="230">
        <f t="shared" si="86"/>
        <v>53.608414050667129</v>
      </c>
      <c r="P141" s="230">
        <f t="shared" si="86"/>
        <v>54.680582331680462</v>
      </c>
      <c r="Q141" s="230">
        <f t="shared" si="86"/>
        <v>55.774193978314074</v>
      </c>
      <c r="R141" s="230">
        <f t="shared" si="86"/>
        <v>56.889677857880358</v>
      </c>
      <c r="S141" s="230">
        <f t="shared" si="86"/>
        <v>58.027471415037965</v>
      </c>
    </row>
    <row r="142" spans="2:19" x14ac:dyDescent="0.25">
      <c r="B142" s="168" t="s">
        <v>272</v>
      </c>
      <c r="C142" s="564"/>
      <c r="D142" s="180"/>
      <c r="E142" s="180"/>
      <c r="F142" s="219"/>
      <c r="G142" s="219"/>
      <c r="H142" s="219"/>
      <c r="I142" s="219"/>
      <c r="J142" s="219"/>
      <c r="K142" s="219"/>
      <c r="L142" s="219"/>
      <c r="M142" s="219"/>
      <c r="N142" s="219"/>
      <c r="O142" s="219"/>
      <c r="P142" s="219"/>
      <c r="Q142" s="219"/>
      <c r="R142" s="219"/>
      <c r="S142" s="219"/>
    </row>
    <row r="143" spans="2:19" x14ac:dyDescent="0.25">
      <c r="B143" s="662" t="s">
        <v>279</v>
      </c>
      <c r="C143" s="563" t="s">
        <v>271</v>
      </c>
      <c r="D143" s="165">
        <f t="shared" ref="D143" si="87">SUM(F143:S143)</f>
        <v>634655.20840873732</v>
      </c>
      <c r="E143" s="177"/>
      <c r="F143" s="229">
        <f>F146+F148+F150</f>
        <v>37162.5</v>
      </c>
      <c r="G143" s="229">
        <f t="shared" ref="G143:S143" si="88">G146+G148+G150</f>
        <v>38958.192000000003</v>
      </c>
      <c r="H143" s="229">
        <f t="shared" si="88"/>
        <v>43255.580255999994</v>
      </c>
      <c r="I143" s="229">
        <f t="shared" si="88"/>
        <v>48060.039348719991</v>
      </c>
      <c r="J143" s="229">
        <f t="shared" si="88"/>
        <v>49021.240135694396</v>
      </c>
      <c r="K143" s="229">
        <f t="shared" si="88"/>
        <v>50001.664938408278</v>
      </c>
      <c r="L143" s="229">
        <f t="shared" si="88"/>
        <v>51001.698237176446</v>
      </c>
      <c r="M143" s="229">
        <f t="shared" si="88"/>
        <v>52021.732201919971</v>
      </c>
      <c r="N143" s="229">
        <f t="shared" si="88"/>
        <v>53062.166845958374</v>
      </c>
      <c r="O143" s="229">
        <f t="shared" si="88"/>
        <v>54123.410182877546</v>
      </c>
      <c r="P143" s="229">
        <f t="shared" si="88"/>
        <v>55205.878386535085</v>
      </c>
      <c r="Q143" s="229">
        <f t="shared" si="88"/>
        <v>56309.995954265789</v>
      </c>
      <c r="R143" s="229">
        <f t="shared" si="88"/>
        <v>30632.637799120592</v>
      </c>
      <c r="S143" s="229">
        <f t="shared" si="88"/>
        <v>15838.472122060875</v>
      </c>
    </row>
    <row r="144" spans="2:19" x14ac:dyDescent="0.25">
      <c r="B144" s="663"/>
      <c r="C144" s="564" t="s">
        <v>3</v>
      </c>
      <c r="D144" s="230">
        <f>D143/D36</f>
        <v>34.019689844646422</v>
      </c>
      <c r="E144" s="230"/>
      <c r="F144" s="230">
        <f t="shared" ref="F144:S144" si="89">F143/F36</f>
        <v>29.73</v>
      </c>
      <c r="G144" s="230">
        <f t="shared" si="89"/>
        <v>29.967840000000002</v>
      </c>
      <c r="H144" s="230">
        <f t="shared" si="89"/>
        <v>30.896843039999997</v>
      </c>
      <c r="I144" s="230">
        <f t="shared" si="89"/>
        <v>32.040026232479995</v>
      </c>
      <c r="J144" s="230">
        <f t="shared" si="89"/>
        <v>32.680826757129594</v>
      </c>
      <c r="K144" s="230">
        <f t="shared" si="89"/>
        <v>33.334443292272184</v>
      </c>
      <c r="L144" s="230">
        <f t="shared" si="89"/>
        <v>34.001132158117628</v>
      </c>
      <c r="M144" s="230">
        <f t="shared" si="89"/>
        <v>34.68115480127998</v>
      </c>
      <c r="N144" s="230">
        <f t="shared" si="89"/>
        <v>35.374777897305584</v>
      </c>
      <c r="O144" s="230">
        <f t="shared" si="89"/>
        <v>36.082273455251695</v>
      </c>
      <c r="P144" s="230">
        <f t="shared" si="89"/>
        <v>36.803918924356722</v>
      </c>
      <c r="Q144" s="230">
        <f t="shared" si="89"/>
        <v>37.539997302843858</v>
      </c>
      <c r="R144" s="230">
        <f t="shared" si="89"/>
        <v>38.290797248900738</v>
      </c>
      <c r="S144" s="230">
        <f t="shared" si="89"/>
        <v>39.056613193878754</v>
      </c>
    </row>
    <row r="145" spans="2:19" x14ac:dyDescent="0.25">
      <c r="B145" s="656" t="s">
        <v>280</v>
      </c>
      <c r="C145" s="193" t="s">
        <v>275</v>
      </c>
      <c r="D145" s="172">
        <f>AVERAGE(F145:S145)</f>
        <v>24.761688098401972</v>
      </c>
      <c r="E145" s="172"/>
      <c r="F145" s="219">
        <f>'И. Д.'!F70</f>
        <v>21.45</v>
      </c>
      <c r="G145" s="219">
        <f>F145*(1+'цены и инфл'!E29)</f>
        <v>21.621600000000001</v>
      </c>
      <c r="H145" s="219">
        <f>G145*(1+'цены и инфл'!F29)</f>
        <v>22.291869599999998</v>
      </c>
      <c r="I145" s="219">
        <f>H145*(1+'цены и инфл'!G29)</f>
        <v>23.116668775199997</v>
      </c>
      <c r="J145" s="219">
        <f>I145*(1+'цены и инфл'!H29)</f>
        <v>23.579002150703996</v>
      </c>
      <c r="K145" s="219">
        <f>J145*(1+'цены и инфл'!I29)</f>
        <v>24.050582193718075</v>
      </c>
      <c r="L145" s="219">
        <f>K145*(1+'цены и инфл'!J29)</f>
        <v>24.531593837592435</v>
      </c>
      <c r="M145" s="219">
        <f>L145*(1+'цены и инфл'!K29)</f>
        <v>25.022225714344284</v>
      </c>
      <c r="N145" s="219">
        <f>M145*(1+'цены и инфл'!L29)</f>
        <v>25.522670228631171</v>
      </c>
      <c r="O145" s="219">
        <f>N145*(1+'цены и инфл'!M29)</f>
        <v>26.033123633203793</v>
      </c>
      <c r="P145" s="219">
        <f>O145*(1+'цены и инфл'!N29)</f>
        <v>26.553786105867868</v>
      </c>
      <c r="Q145" s="219">
        <f>P145*(1+'цены и инфл'!O29)</f>
        <v>27.084861827985225</v>
      </c>
      <c r="R145" s="219">
        <f>Q145*(1+'цены и инфл'!P29)</f>
        <v>27.626559064544931</v>
      </c>
      <c r="S145" s="219">
        <f>R145*(1+'цены и инфл'!Q29)</f>
        <v>28.17909024583583</v>
      </c>
    </row>
    <row r="146" spans="2:19" x14ac:dyDescent="0.25">
      <c r="B146" s="658"/>
      <c r="C146" s="209" t="s">
        <v>271</v>
      </c>
      <c r="D146" s="165">
        <f t="shared" ref="D146" si="90">SUM(F146:S146)</f>
        <v>457899.57014353905</v>
      </c>
      <c r="E146" s="167"/>
      <c r="F146" s="211">
        <f>F145*F36</f>
        <v>26812.5</v>
      </c>
      <c r="G146" s="211">
        <f t="shared" ref="G146:S146" si="91">G145*G36</f>
        <v>28108.080000000002</v>
      </c>
      <c r="H146" s="211">
        <f t="shared" si="91"/>
        <v>31208.617439999998</v>
      </c>
      <c r="I146" s="211">
        <f t="shared" si="91"/>
        <v>34675.003162799992</v>
      </c>
      <c r="J146" s="211">
        <f t="shared" si="91"/>
        <v>35368.503226055996</v>
      </c>
      <c r="K146" s="211">
        <f t="shared" si="91"/>
        <v>36075.87329057711</v>
      </c>
      <c r="L146" s="211">
        <f t="shared" si="91"/>
        <v>36797.390756388653</v>
      </c>
      <c r="M146" s="211">
        <f t="shared" si="91"/>
        <v>37533.338571516426</v>
      </c>
      <c r="N146" s="211">
        <f t="shared" si="91"/>
        <v>38284.005342946759</v>
      </c>
      <c r="O146" s="211">
        <f t="shared" si="91"/>
        <v>39049.685449805693</v>
      </c>
      <c r="P146" s="211">
        <f t="shared" si="91"/>
        <v>39830.679158801802</v>
      </c>
      <c r="Q146" s="211">
        <f t="shared" si="91"/>
        <v>40627.292741977835</v>
      </c>
      <c r="R146" s="211">
        <f t="shared" si="91"/>
        <v>22101.247251635945</v>
      </c>
      <c r="S146" s="211">
        <f t="shared" si="91"/>
        <v>11427.353751032821</v>
      </c>
    </row>
    <row r="147" spans="2:19" x14ac:dyDescent="0.25">
      <c r="B147" s="656" t="s">
        <v>396</v>
      </c>
      <c r="C147" s="193" t="s">
        <v>275</v>
      </c>
      <c r="D147" s="172">
        <f>AVERAGE(F147:S147)</f>
        <v>7.2611197267575038</v>
      </c>
      <c r="E147" s="167"/>
      <c r="F147" s="211">
        <f>'И. Д.'!F71</f>
        <v>6.29</v>
      </c>
      <c r="G147" s="219">
        <f>F147*(1+'цены и инфл'!E29)</f>
        <v>6.3403200000000002</v>
      </c>
      <c r="H147" s="219">
        <f>G147*(1+'цены и инфл'!F29)</f>
        <v>6.53686992</v>
      </c>
      <c r="I147" s="219">
        <f>H147*(1+'цены и инфл'!G29)</f>
        <v>6.7787341070399991</v>
      </c>
      <c r="J147" s="219">
        <f>I147*(1+'цены и инфл'!H29)</f>
        <v>6.9143087891807991</v>
      </c>
      <c r="K147" s="219">
        <f>J147*(1+'цены и инфл'!I29)</f>
        <v>7.0525949649644151</v>
      </c>
      <c r="L147" s="219">
        <f>K147*(1+'цены и инфл'!J29)</f>
        <v>7.1936468642637035</v>
      </c>
      <c r="M147" s="219">
        <f>L147*(1+'цены и инфл'!K29)</f>
        <v>7.3375198015489778</v>
      </c>
      <c r="N147" s="219">
        <f>M147*(1+'цены и инфл'!L29)</f>
        <v>7.4842701975799573</v>
      </c>
      <c r="O147" s="219">
        <f>N147*(1+'цены и инфл'!M29)</f>
        <v>7.6339556015315564</v>
      </c>
      <c r="P147" s="219">
        <f>O147*(1+'цены и инфл'!N29)</f>
        <v>7.7866347135621874</v>
      </c>
      <c r="Q147" s="219">
        <f>P147*(1+'цены и инфл'!O29)</f>
        <v>7.942367407833431</v>
      </c>
      <c r="R147" s="219">
        <f>Q147*(1+'цены и инфл'!P29)</f>
        <v>8.1012147559900995</v>
      </c>
      <c r="S147" s="219">
        <f>R147*(1+'цены и инфл'!Q29)</f>
        <v>8.2632390511099025</v>
      </c>
    </row>
    <row r="148" spans="2:19" x14ac:dyDescent="0.25">
      <c r="B148" s="658"/>
      <c r="C148" s="209" t="s">
        <v>271</v>
      </c>
      <c r="D148" s="165">
        <f t="shared" ref="D148" si="92">SUM(F148:S148)</f>
        <v>134274.51264348999</v>
      </c>
      <c r="E148" s="167"/>
      <c r="F148" s="211">
        <f>F147*F36</f>
        <v>7862.5</v>
      </c>
      <c r="G148" s="211">
        <f t="shared" ref="G148:S148" si="93">G147*G36</f>
        <v>8242.4160000000011</v>
      </c>
      <c r="H148" s="211">
        <f t="shared" si="93"/>
        <v>9151.6178880000007</v>
      </c>
      <c r="I148" s="211">
        <f t="shared" si="93"/>
        <v>10168.101160559998</v>
      </c>
      <c r="J148" s="211">
        <f t="shared" si="93"/>
        <v>10371.463183771199</v>
      </c>
      <c r="K148" s="211">
        <f t="shared" si="93"/>
        <v>10578.892447446622</v>
      </c>
      <c r="L148" s="211">
        <f t="shared" si="93"/>
        <v>10790.470296395555</v>
      </c>
      <c r="M148" s="211">
        <f t="shared" si="93"/>
        <v>11006.279702323467</v>
      </c>
      <c r="N148" s="211">
        <f t="shared" si="93"/>
        <v>11226.405296369936</v>
      </c>
      <c r="O148" s="211">
        <f t="shared" si="93"/>
        <v>11450.933402297334</v>
      </c>
      <c r="P148" s="211">
        <f t="shared" si="93"/>
        <v>11679.952070343281</v>
      </c>
      <c r="Q148" s="211">
        <f t="shared" si="93"/>
        <v>11913.551111750146</v>
      </c>
      <c r="R148" s="211">
        <f t="shared" si="93"/>
        <v>6480.9718047920796</v>
      </c>
      <c r="S148" s="211">
        <f t="shared" si="93"/>
        <v>3350.9582794403946</v>
      </c>
    </row>
    <row r="149" spans="2:19" x14ac:dyDescent="0.25">
      <c r="B149" s="656" t="s">
        <v>281</v>
      </c>
      <c r="C149" s="193" t="s">
        <v>275</v>
      </c>
      <c r="D149" s="172">
        <f>AVERAGE(F149:S149)</f>
        <v>2.2972381965417226</v>
      </c>
      <c r="E149" s="172"/>
      <c r="F149" s="219">
        <f>'И. Д.'!F72</f>
        <v>1.99</v>
      </c>
      <c r="G149" s="219">
        <f>F149*(1+'цены и инфл'!E29)</f>
        <v>2.0059200000000001</v>
      </c>
      <c r="H149" s="219">
        <f>G149*(1+'цены и инфл'!F29)</f>
        <v>2.0681035200000002</v>
      </c>
      <c r="I149" s="219">
        <f>H149*(1+'цены и инфл'!G29)</f>
        <v>2.1446233502399998</v>
      </c>
      <c r="J149" s="219">
        <f>I149*(1+'цены и инфл'!H29)</f>
        <v>2.1875158172447997</v>
      </c>
      <c r="K149" s="219">
        <f>J149*(1+'цены и инфл'!I29)</f>
        <v>2.2312661335896959</v>
      </c>
      <c r="L149" s="219">
        <f>K149*(1+'цены и инфл'!J29)</f>
        <v>2.27589145626149</v>
      </c>
      <c r="M149" s="219">
        <f>L149*(1+'цены и инфл'!K29)</f>
        <v>2.3214092853867201</v>
      </c>
      <c r="N149" s="219">
        <f>M149*(1+'цены и инфл'!L29)</f>
        <v>2.3678374710944547</v>
      </c>
      <c r="O149" s="219">
        <f>N149*(1+'цены и инфл'!M29)</f>
        <v>2.4151942205163439</v>
      </c>
      <c r="P149" s="219">
        <f>O149*(1+'цены и инфл'!N29)</f>
        <v>2.4634981049266709</v>
      </c>
      <c r="Q149" s="219">
        <f>P149*(1+'цены и инфл'!O29)</f>
        <v>2.5127680670252044</v>
      </c>
      <c r="R149" s="219">
        <f>Q149*(1+'цены и инфл'!P29)</f>
        <v>2.5630234283657085</v>
      </c>
      <c r="S149" s="219">
        <f>R149*(1+'цены и инфл'!Q29)</f>
        <v>2.6142838969330229</v>
      </c>
    </row>
    <row r="150" spans="2:19" x14ac:dyDescent="0.25">
      <c r="B150" s="658"/>
      <c r="C150" s="209" t="s">
        <v>271</v>
      </c>
      <c r="D150" s="165">
        <f t="shared" ref="D150:D151" si="94">SUM(F150:S150)</f>
        <v>42481.125621708299</v>
      </c>
      <c r="E150" s="167"/>
      <c r="F150" s="211">
        <f>F149*F36</f>
        <v>2487.5</v>
      </c>
      <c r="G150" s="211">
        <f t="shared" ref="G150:S150" si="95">G149*G36</f>
        <v>2607.6960000000004</v>
      </c>
      <c r="H150" s="211">
        <f t="shared" si="95"/>
        <v>2895.3449280000004</v>
      </c>
      <c r="I150" s="211">
        <f t="shared" si="95"/>
        <v>3216.9350253599996</v>
      </c>
      <c r="J150" s="211">
        <f t="shared" si="95"/>
        <v>3281.2737258671996</v>
      </c>
      <c r="K150" s="211">
        <f t="shared" si="95"/>
        <v>3346.8992003845437</v>
      </c>
      <c r="L150" s="211">
        <f t="shared" si="95"/>
        <v>3413.837184392235</v>
      </c>
      <c r="M150" s="211">
        <f t="shared" si="95"/>
        <v>3482.1139280800803</v>
      </c>
      <c r="N150" s="211">
        <f t="shared" si="95"/>
        <v>3551.7562066416822</v>
      </c>
      <c r="O150" s="211">
        <f t="shared" si="95"/>
        <v>3622.7913307745157</v>
      </c>
      <c r="P150" s="211">
        <f t="shared" si="95"/>
        <v>3695.2471573900061</v>
      </c>
      <c r="Q150" s="211">
        <f t="shared" si="95"/>
        <v>3769.1521005378067</v>
      </c>
      <c r="R150" s="211">
        <f t="shared" si="95"/>
        <v>2050.4187426925669</v>
      </c>
      <c r="S150" s="211">
        <f t="shared" si="95"/>
        <v>1060.1600915876611</v>
      </c>
    </row>
    <row r="151" spans="2:19" x14ac:dyDescent="0.25">
      <c r="B151" s="670" t="s">
        <v>282</v>
      </c>
      <c r="C151" s="563" t="s">
        <v>271</v>
      </c>
      <c r="D151" s="165">
        <f t="shared" si="94"/>
        <v>249547.31544498578</v>
      </c>
      <c r="E151" s="177"/>
      <c r="F151" s="227">
        <f>F154+F156+F158+F160+F162</f>
        <v>14612.346967854193</v>
      </c>
      <c r="G151" s="227">
        <f>G154+G156+G158+G160+G162</f>
        <v>15318.41557334091</v>
      </c>
      <c r="H151" s="227">
        <f t="shared" ref="H151:S151" si="96">H154+H156+H158+H160+H162</f>
        <v>17008.154645046357</v>
      </c>
      <c r="I151" s="227">
        <f t="shared" si="96"/>
        <v>18897.274678835431</v>
      </c>
      <c r="J151" s="227">
        <f t="shared" si="96"/>
        <v>19275.220172412137</v>
      </c>
      <c r="K151" s="227">
        <f t="shared" si="96"/>
        <v>19660.724575860379</v>
      </c>
      <c r="L151" s="227">
        <f t="shared" si="96"/>
        <v>20053.939067377589</v>
      </c>
      <c r="M151" s="227">
        <f t="shared" si="96"/>
        <v>20455.017848725143</v>
      </c>
      <c r="N151" s="227">
        <f t="shared" si="96"/>
        <v>20864.118205699644</v>
      </c>
      <c r="O151" s="227">
        <f t="shared" si="96"/>
        <v>21281.400569813639</v>
      </c>
      <c r="P151" s="227">
        <f t="shared" si="96"/>
        <v>21707.02858120991</v>
      </c>
      <c r="Q151" s="227">
        <f t="shared" si="96"/>
        <v>22141.169152834107</v>
      </c>
      <c r="R151" s="227">
        <f t="shared" si="96"/>
        <v>12044.796019141753</v>
      </c>
      <c r="S151" s="227">
        <f t="shared" si="96"/>
        <v>6227.709386834561</v>
      </c>
    </row>
    <row r="152" spans="2:19" ht="15.75" customHeight="1" x14ac:dyDescent="0.25">
      <c r="B152" s="671"/>
      <c r="C152" s="564" t="s">
        <v>3</v>
      </c>
      <c r="D152" s="228">
        <f>D151/D36</f>
        <v>13.376589619879159</v>
      </c>
      <c r="E152" s="228"/>
      <c r="F152" s="228">
        <f t="shared" ref="F152:S152" si="97">F151/F36</f>
        <v>11.689877574283354</v>
      </c>
      <c r="G152" s="228">
        <f t="shared" si="97"/>
        <v>11.783396594877622</v>
      </c>
      <c r="H152" s="228">
        <f t="shared" si="97"/>
        <v>12.148681889318826</v>
      </c>
      <c r="I152" s="228">
        <f t="shared" si="97"/>
        <v>12.59818311922362</v>
      </c>
      <c r="J152" s="228">
        <f t="shared" si="97"/>
        <v>12.850146781608091</v>
      </c>
      <c r="K152" s="228">
        <f t="shared" si="97"/>
        <v>13.107149717240253</v>
      </c>
      <c r="L152" s="228">
        <f t="shared" si="97"/>
        <v>13.369292711585059</v>
      </c>
      <c r="M152" s="228">
        <f t="shared" si="97"/>
        <v>13.636678565816762</v>
      </c>
      <c r="N152" s="228">
        <f t="shared" si="97"/>
        <v>13.909412137133096</v>
      </c>
      <c r="O152" s="228">
        <f t="shared" si="97"/>
        <v>14.187600379875759</v>
      </c>
      <c r="P152" s="228">
        <f t="shared" si="97"/>
        <v>14.471352387473273</v>
      </c>
      <c r="Q152" s="228">
        <f t="shared" si="97"/>
        <v>14.760779435222737</v>
      </c>
      <c r="R152" s="228">
        <f t="shared" si="97"/>
        <v>15.055995023927192</v>
      </c>
      <c r="S152" s="228">
        <f t="shared" si="97"/>
        <v>15.357114924405737</v>
      </c>
    </row>
    <row r="153" spans="2:19" ht="15.75" customHeight="1" x14ac:dyDescent="0.25">
      <c r="B153" s="656" t="s">
        <v>283</v>
      </c>
      <c r="C153" s="193" t="s">
        <v>284</v>
      </c>
      <c r="D153" s="172">
        <f>AVERAGE(F153:S153)</f>
        <v>17.408217087361386</v>
      </c>
      <c r="E153" s="172"/>
      <c r="F153" s="219">
        <f>'И. Д.'!F74</f>
        <v>15.08</v>
      </c>
      <c r="G153" s="219">
        <f>F153*(1+'цены и инфл'!E29)</f>
        <v>15.20064</v>
      </c>
      <c r="H153" s="219">
        <f>G153*(1+'цены и инфл'!F29)</f>
        <v>15.671859839999998</v>
      </c>
      <c r="I153" s="219">
        <f>H153*(1+'цены и инфл'!G29)</f>
        <v>16.251718654079998</v>
      </c>
      <c r="J153" s="219">
        <f>I153*(1+'цены и инфл'!H29)</f>
        <v>16.576753027161597</v>
      </c>
      <c r="K153" s="219">
        <f>J153*(1+'цены и инфл'!I29)</f>
        <v>16.908288087704829</v>
      </c>
      <c r="L153" s="219">
        <f>K153*(1+'цены и инфл'!J29)</f>
        <v>17.246453849458927</v>
      </c>
      <c r="M153" s="219">
        <f>L153*(1+'цены и инфл'!K29)</f>
        <v>17.591382926448105</v>
      </c>
      <c r="N153" s="219">
        <f>M153*(1+'цены и инфл'!L29)</f>
        <v>17.943210584977066</v>
      </c>
      <c r="O153" s="219">
        <f>N153*(1+'цены и инфл'!M29)</f>
        <v>18.302074796676607</v>
      </c>
      <c r="P153" s="219">
        <f>O153*(1+'цены и инфл'!N29)</f>
        <v>18.66811629261014</v>
      </c>
      <c r="Q153" s="219">
        <f>P153*(1+'цены и инфл'!O29)</f>
        <v>19.041478618462342</v>
      </c>
      <c r="R153" s="219">
        <f>Q153*(1+'цены и инфл'!P29)</f>
        <v>19.42230819083159</v>
      </c>
      <c r="S153" s="219">
        <f>R153*(1+'цены и инфл'!Q29)</f>
        <v>19.810754354648221</v>
      </c>
    </row>
    <row r="154" spans="2:19" ht="15.75" customHeight="1" x14ac:dyDescent="0.25">
      <c r="B154" s="658"/>
      <c r="C154" s="209" t="s">
        <v>271</v>
      </c>
      <c r="D154" s="165">
        <f t="shared" ref="D154" si="98">SUM(F154:S154)</f>
        <v>23017.085059215231</v>
      </c>
      <c r="E154" s="167"/>
      <c r="F154" s="211">
        <f t="shared" ref="F154:S154" si="99">F153*F43/1000</f>
        <v>1347.7750000000003</v>
      </c>
      <c r="G154" s="211">
        <f t="shared" si="99"/>
        <v>1412.899488</v>
      </c>
      <c r="H154" s="211">
        <f t="shared" si="99"/>
        <v>1568.7531699840001</v>
      </c>
      <c r="I154" s="211">
        <f t="shared" si="99"/>
        <v>1742.9968256500799</v>
      </c>
      <c r="J154" s="211">
        <f t="shared" si="99"/>
        <v>1777.8567621630816</v>
      </c>
      <c r="K154" s="211">
        <f t="shared" si="99"/>
        <v>1813.413897406343</v>
      </c>
      <c r="L154" s="211">
        <f t="shared" si="99"/>
        <v>1849.6821753544702</v>
      </c>
      <c r="M154" s="211">
        <f t="shared" si="99"/>
        <v>1886.6758188615595</v>
      </c>
      <c r="N154" s="211">
        <f t="shared" si="99"/>
        <v>1924.4093352387906</v>
      </c>
      <c r="O154" s="211">
        <f t="shared" si="99"/>
        <v>1962.8975219435663</v>
      </c>
      <c r="P154" s="211">
        <f t="shared" si="99"/>
        <v>2002.1554723824379</v>
      </c>
      <c r="Q154" s="211">
        <f t="shared" si="99"/>
        <v>2042.1985818300864</v>
      </c>
      <c r="R154" s="211">
        <f t="shared" si="99"/>
        <v>1110.9560285155671</v>
      </c>
      <c r="S154" s="211">
        <f t="shared" si="99"/>
        <v>574.41498188524997</v>
      </c>
    </row>
    <row r="155" spans="2:19" x14ac:dyDescent="0.25">
      <c r="B155" s="656" t="s">
        <v>285</v>
      </c>
      <c r="C155" s="193" t="s">
        <v>284</v>
      </c>
      <c r="D155" s="172">
        <f>AVERAGE(F155:S155)</f>
        <v>110.99469979773195</v>
      </c>
      <c r="E155" s="172"/>
      <c r="F155" s="219">
        <f>'И. Д.'!F75</f>
        <v>96.15</v>
      </c>
      <c r="G155" s="219">
        <f>F155*(1+'цены и инфл'!E29)</f>
        <v>96.919200000000004</v>
      </c>
      <c r="H155" s="219">
        <f>G155*(1+'цены и инфл'!F29)</f>
        <v>99.923695199999997</v>
      </c>
      <c r="I155" s="219">
        <f>H155*(1+'цены и инфл'!G29)</f>
        <v>103.62087192239999</v>
      </c>
      <c r="J155" s="219">
        <f>I155*(1+'цены и инфл'!H29)</f>
        <v>105.69328936084798</v>
      </c>
      <c r="K155" s="219">
        <f>J155*(1+'цены и инфл'!I29)</f>
        <v>107.80715514806495</v>
      </c>
      <c r="L155" s="219">
        <f>K155*(1+'цены и инфл'!J29)</f>
        <v>109.96329825102625</v>
      </c>
      <c r="M155" s="219">
        <f>L155*(1+'цены и инфл'!K29)</f>
        <v>112.16256421604677</v>
      </c>
      <c r="N155" s="219">
        <f>M155*(1+'цены и инфл'!L29)</f>
        <v>114.40581550036771</v>
      </c>
      <c r="O155" s="219">
        <f>N155*(1+'цены и инфл'!M29)</f>
        <v>116.69393181037506</v>
      </c>
      <c r="P155" s="219">
        <f>O155*(1+'цены и инфл'!N29)</f>
        <v>119.02781044658256</v>
      </c>
      <c r="Q155" s="219">
        <f>P155*(1+'цены и инфл'!O29)</f>
        <v>121.40836665551421</v>
      </c>
      <c r="R155" s="219">
        <f>Q155*(1+'цены и инфл'!P29)</f>
        <v>123.8365339886245</v>
      </c>
      <c r="S155" s="219">
        <f>R155*(1+'цены и инфл'!Q29)</f>
        <v>126.31326466839698</v>
      </c>
    </row>
    <row r="156" spans="2:19" x14ac:dyDescent="0.25">
      <c r="B156" s="658"/>
      <c r="C156" s="209" t="s">
        <v>271</v>
      </c>
      <c r="D156" s="165">
        <f t="shared" ref="D156" si="100">SUM(F156:S156)</f>
        <v>146756.8122310043</v>
      </c>
      <c r="E156" s="167"/>
      <c r="F156" s="211">
        <f t="shared" ref="F156:S156" si="101">F155*F43/1000</f>
        <v>8593.4062500000018</v>
      </c>
      <c r="G156" s="211">
        <f t="shared" si="101"/>
        <v>9008.6396400000031</v>
      </c>
      <c r="H156" s="211">
        <f t="shared" si="101"/>
        <v>10002.361889520002</v>
      </c>
      <c r="I156" s="211">
        <f t="shared" si="101"/>
        <v>11113.3385136774</v>
      </c>
      <c r="J156" s="211">
        <f t="shared" si="101"/>
        <v>11335.605283950947</v>
      </c>
      <c r="K156" s="211">
        <f t="shared" si="101"/>
        <v>11562.317389629967</v>
      </c>
      <c r="L156" s="211">
        <f t="shared" si="101"/>
        <v>11793.563737422566</v>
      </c>
      <c r="M156" s="211">
        <f t="shared" si="101"/>
        <v>12029.435012171019</v>
      </c>
      <c r="N156" s="211">
        <f t="shared" si="101"/>
        <v>12270.023712414439</v>
      </c>
      <c r="O156" s="211">
        <f t="shared" si="101"/>
        <v>12515.424186662727</v>
      </c>
      <c r="P156" s="211">
        <f t="shared" si="101"/>
        <v>12765.732670395981</v>
      </c>
      <c r="Q156" s="211">
        <f t="shared" si="101"/>
        <v>13021.047323803901</v>
      </c>
      <c r="R156" s="211">
        <f t="shared" si="101"/>
        <v>7083.4497441493213</v>
      </c>
      <c r="S156" s="211">
        <f t="shared" si="101"/>
        <v>3662.4668772060199</v>
      </c>
    </row>
    <row r="157" spans="2:19" x14ac:dyDescent="0.25">
      <c r="B157" s="656" t="s">
        <v>286</v>
      </c>
      <c r="C157" s="193" t="s">
        <v>287</v>
      </c>
      <c r="D157" s="172">
        <f>AVERAGE(F157:S157)</f>
        <v>0.24242212124309623</v>
      </c>
      <c r="E157" s="172"/>
      <c r="F157" s="219">
        <f>'И. Д.'!F76</f>
        <v>0.21</v>
      </c>
      <c r="G157" s="219">
        <f>F157*(1+'цены и инфл'!E29)</f>
        <v>0.21168000000000001</v>
      </c>
      <c r="H157" s="219">
        <f>G157*(1+'цены и инфл'!F29)</f>
        <v>0.21824207999999998</v>
      </c>
      <c r="I157" s="219">
        <f>H157*(1+'цены и инфл'!G29)</f>
        <v>0.22631703695999997</v>
      </c>
      <c r="J157" s="219">
        <f>I157*(1+'цены и инфл'!H29)</f>
        <v>0.23084337769919996</v>
      </c>
      <c r="K157" s="219">
        <f>J157*(1+'цены и инфл'!I29)</f>
        <v>0.23546024525318396</v>
      </c>
      <c r="L157" s="219">
        <f>K157*(1+'цены и инфл'!J29)</f>
        <v>0.24016945015824764</v>
      </c>
      <c r="M157" s="219">
        <f>L157*(1+'цены и инфл'!K29)</f>
        <v>0.2449728391614126</v>
      </c>
      <c r="N157" s="219">
        <f>M157*(1+'цены и инфл'!L29)</f>
        <v>0.24987229594464086</v>
      </c>
      <c r="O157" s="219">
        <f>N157*(1+'цены и инфл'!M29)</f>
        <v>0.25486974186353367</v>
      </c>
      <c r="P157" s="219">
        <f>O157*(1+'цены и инфл'!N29)</f>
        <v>0.25996713670080435</v>
      </c>
      <c r="Q157" s="219">
        <f>P157*(1+'цены и инфл'!O29)</f>
        <v>0.26516647943482041</v>
      </c>
      <c r="R157" s="219">
        <f>Q157*(1+'цены и инфл'!P29)</f>
        <v>0.27046980902351681</v>
      </c>
      <c r="S157" s="219">
        <f>R157*(1+'цены и инфл'!Q29)</f>
        <v>0.27587920520398712</v>
      </c>
    </row>
    <row r="158" spans="2:19" x14ac:dyDescent="0.25">
      <c r="B158" s="658"/>
      <c r="C158" s="209" t="s">
        <v>271</v>
      </c>
      <c r="D158" s="165">
        <f t="shared" ref="D158" si="102">SUM(F158:S158)</f>
        <v>66143.063928674528</v>
      </c>
      <c r="E158" s="167"/>
      <c r="F158" s="211">
        <f t="shared" ref="F158:G158" si="103">F157*F87</f>
        <v>3873.0346504401705</v>
      </c>
      <c r="G158" s="211">
        <f t="shared" si="103"/>
        <v>4060.1796847494397</v>
      </c>
      <c r="H158" s="211">
        <f t="shared" ref="H158" si="104">H157*H87</f>
        <v>4508.0487361287223</v>
      </c>
      <c r="I158" s="211">
        <f t="shared" ref="I158" si="105">I157*I87</f>
        <v>5008.7641493201627</v>
      </c>
      <c r="J158" s="211">
        <f t="shared" ref="J158" si="106">J157*J87</f>
        <v>5108.9394323065662</v>
      </c>
      <c r="K158" s="211">
        <f t="shared" ref="K158" si="107">K157*K87</f>
        <v>5211.1182209526969</v>
      </c>
      <c r="L158" s="211">
        <f t="shared" ref="L158" si="108">L157*L87</f>
        <v>5315.3405853717513</v>
      </c>
      <c r="M158" s="211">
        <f t="shared" ref="M158" si="109">M157*M87</f>
        <v>5421.6473970791867</v>
      </c>
      <c r="N158" s="211">
        <f t="shared" ref="N158" si="110">N157*N87</f>
        <v>5530.0803450207704</v>
      </c>
      <c r="O158" s="211">
        <f t="shared" ref="O158" si="111">O157*O87</f>
        <v>5640.6819519211858</v>
      </c>
      <c r="P158" s="211">
        <f t="shared" ref="P158" si="112">P157*P87</f>
        <v>5753.4955909596092</v>
      </c>
      <c r="Q158" s="211">
        <f t="shared" ref="Q158" si="113">Q157*Q87</f>
        <v>5868.5655027788007</v>
      </c>
      <c r="R158" s="211">
        <f t="shared" ref="R158" si="114">R157*R87</f>
        <v>3192.4996335116671</v>
      </c>
      <c r="S158" s="211">
        <f t="shared" ref="S158" si="115">S157*S87</f>
        <v>1650.6680481338017</v>
      </c>
    </row>
    <row r="159" spans="2:19" x14ac:dyDescent="0.25">
      <c r="B159" s="656" t="s">
        <v>288</v>
      </c>
      <c r="C159" s="193" t="s">
        <v>53</v>
      </c>
      <c r="D159" s="172">
        <f>AVERAGE(F159:S159)</f>
        <v>0.21933430017232519</v>
      </c>
      <c r="E159" s="172"/>
      <c r="F159" s="219">
        <f>'И. Д.'!F77</f>
        <v>0.19</v>
      </c>
      <c r="G159" s="219">
        <f>F159*(1+'цены и инфл'!E29)</f>
        <v>0.19152</v>
      </c>
      <c r="H159" s="219">
        <f>G159*(1+'цены и инфл'!F29)</f>
        <v>0.19745711999999999</v>
      </c>
      <c r="I159" s="219">
        <f>H159*(1+'цены и инфл'!G29)</f>
        <v>0.20476303343999996</v>
      </c>
      <c r="J159" s="219">
        <f>I159*(1+'цены и инфл'!H29)</f>
        <v>0.20885829410879997</v>
      </c>
      <c r="K159" s="219">
        <f>J159*(1+'цены и инфл'!I29)</f>
        <v>0.21303545999097598</v>
      </c>
      <c r="L159" s="219">
        <f>K159*(1+'цены и инфл'!J29)</f>
        <v>0.2172961691907955</v>
      </c>
      <c r="M159" s="219">
        <f>L159*(1+'цены и инфл'!K29)</f>
        <v>0.22164209257461143</v>
      </c>
      <c r="N159" s="219">
        <f>M159*(1+'цены и инфл'!L29)</f>
        <v>0.22607493442610366</v>
      </c>
      <c r="O159" s="219">
        <f>N159*(1+'цены и инфл'!M29)</f>
        <v>0.23059643311462574</v>
      </c>
      <c r="P159" s="219">
        <f>O159*(1+'цены и инфл'!N29)</f>
        <v>0.23520836177691826</v>
      </c>
      <c r="Q159" s="219">
        <f>P159*(1+'цены и инфл'!O29)</f>
        <v>0.23991252901245663</v>
      </c>
      <c r="R159" s="219">
        <f>Q159*(1+'цены и инфл'!P29)</f>
        <v>0.24471077959270576</v>
      </c>
      <c r="S159" s="219">
        <f>R159*(1+'цены и инфл'!Q29)</f>
        <v>0.24960499518455989</v>
      </c>
    </row>
    <row r="160" spans="2:19" x14ac:dyDescent="0.25">
      <c r="B160" s="658"/>
      <c r="C160" s="209" t="s">
        <v>271</v>
      </c>
      <c r="D160" s="165">
        <f t="shared" ref="D160" si="116">SUM(F160:S160)</f>
        <v>1345.6969502704335</v>
      </c>
      <c r="E160" s="167"/>
      <c r="F160" s="211">
        <f t="shared" ref="F160:G160" si="117">F159*F90</f>
        <v>78.797845273834668</v>
      </c>
      <c r="G160" s="211">
        <f t="shared" si="117"/>
        <v>82.605357157466372</v>
      </c>
      <c r="H160" s="211">
        <f t="shared" ref="H160" si="118">H159*H90</f>
        <v>91.717363477759193</v>
      </c>
      <c r="I160" s="211">
        <f t="shared" ref="I160" si="119">I159*I90</f>
        <v>101.90454206403885</v>
      </c>
      <c r="J160" s="211">
        <f t="shared" ref="J160" si="120">J159*J90</f>
        <v>103.94263290531964</v>
      </c>
      <c r="K160" s="211">
        <f t="shared" ref="K160" si="121">K159*K90</f>
        <v>106.02148556342604</v>
      </c>
      <c r="L160" s="211">
        <f t="shared" ref="L160" si="122">L159*L90</f>
        <v>108.14191527469455</v>
      </c>
      <c r="M160" s="211">
        <f t="shared" ref="M160" si="123">M159*M90</f>
        <v>110.30475358018846</v>
      </c>
      <c r="N160" s="211">
        <f t="shared" ref="N160" si="124">N159*N90</f>
        <v>112.51084865179223</v>
      </c>
      <c r="O160" s="211">
        <f t="shared" ref="O160" si="125">O159*O90</f>
        <v>114.76106562482808</v>
      </c>
      <c r="P160" s="211">
        <f t="shared" ref="P160" si="126">P159*P90</f>
        <v>117.05628693732464</v>
      </c>
      <c r="Q160" s="211">
        <f t="shared" ref="Q160" si="127">Q159*Q90</f>
        <v>119.39741267607114</v>
      </c>
      <c r="R160" s="211">
        <f t="shared" ref="R160" si="128">R159*R90</f>
        <v>64.952192495782697</v>
      </c>
      <c r="S160" s="211">
        <f t="shared" ref="S160" si="129">S159*S90</f>
        <v>33.583248587907086</v>
      </c>
    </row>
    <row r="161" spans="2:19" x14ac:dyDescent="0.25">
      <c r="B161" s="655" t="s">
        <v>289</v>
      </c>
      <c r="C161" s="193" t="s">
        <v>53</v>
      </c>
      <c r="D161" s="172">
        <f>AVERAGE(F161:S161)</f>
        <v>1.5007083696001195E-2</v>
      </c>
      <c r="E161" s="231"/>
      <c r="F161" s="232">
        <f>'И. Д.'!F78</f>
        <v>1.2999999999999999E-2</v>
      </c>
      <c r="G161" s="232">
        <f>F161*(1+'цены и инфл'!E29)</f>
        <v>1.3103999999999999E-2</v>
      </c>
      <c r="H161" s="232">
        <f>G161*(1+'цены и инфл'!F29)</f>
        <v>1.3510223999999998E-2</v>
      </c>
      <c r="I161" s="232">
        <f>H161*(1+'цены и инфл'!G29)</f>
        <v>1.4010102287999997E-2</v>
      </c>
      <c r="J161" s="232">
        <f>I161*(1+'цены и инфл'!H29)</f>
        <v>1.4290304333759997E-2</v>
      </c>
      <c r="K161" s="232">
        <f>J161*(1+'цены и инфл'!I29)</f>
        <v>1.4576110420435197E-2</v>
      </c>
      <c r="L161" s="232">
        <f>K161*(1+'цены и инфл'!J29)</f>
        <v>1.4867632628843901E-2</v>
      </c>
      <c r="M161" s="232">
        <f>L161*(1+'цены и инфл'!K29)</f>
        <v>1.516498528142078E-2</v>
      </c>
      <c r="N161" s="232">
        <f>M161*(1+'цены и инфл'!L29)</f>
        <v>1.5468284987049195E-2</v>
      </c>
      <c r="O161" s="232">
        <f>N161*(1+'цены и инфл'!M29)</f>
        <v>1.5777650686790178E-2</v>
      </c>
      <c r="P161" s="232">
        <f>O161*(1+'цены и инфл'!N29)</f>
        <v>1.6093203700525981E-2</v>
      </c>
      <c r="Q161" s="232">
        <f>P161*(1+'цены и инфл'!O29)</f>
        <v>1.6415067774536503E-2</v>
      </c>
      <c r="R161" s="232">
        <f>Q161*(1+'цены и инфл'!P29)</f>
        <v>1.6743369130027233E-2</v>
      </c>
      <c r="S161" s="232">
        <f>R161*(1+'цены и инфл'!Q29)</f>
        <v>1.7078236512627777E-2</v>
      </c>
    </row>
    <row r="162" spans="2:19" x14ac:dyDescent="0.25">
      <c r="B162" s="655"/>
      <c r="C162" s="209" t="s">
        <v>271</v>
      </c>
      <c r="D162" s="165">
        <f t="shared" ref="D162:D163" si="130">SUM(F162:S162)</f>
        <v>12284.657275821264</v>
      </c>
      <c r="E162" s="167"/>
      <c r="F162" s="211">
        <f t="shared" ref="F162:G162" si="131">F161*F91</f>
        <v>719.33322214018506</v>
      </c>
      <c r="G162" s="211">
        <f t="shared" si="131"/>
        <v>754.09140343399883</v>
      </c>
      <c r="H162" s="211">
        <f t="shared" ref="H162" si="132">H161*H91</f>
        <v>837.27348593587215</v>
      </c>
      <c r="I162" s="211">
        <f t="shared" ref="I162" si="133">I161*I91</f>
        <v>930.27064812374931</v>
      </c>
      <c r="J162" s="211">
        <f t="shared" ref="J162" si="134">J161*J91</f>
        <v>948.87606108622435</v>
      </c>
      <c r="K162" s="211">
        <f t="shared" ref="K162" si="135">K161*K91</f>
        <v>967.85358230794873</v>
      </c>
      <c r="L162" s="211">
        <f t="shared" ref="L162" si="136">L161*L91</f>
        <v>987.21065395410778</v>
      </c>
      <c r="M162" s="211">
        <f t="shared" ref="M162" si="137">M161*M91</f>
        <v>1006.95486703319</v>
      </c>
      <c r="N162" s="211">
        <f t="shared" ref="N162" si="138">N161*N91</f>
        <v>1027.0939643738536</v>
      </c>
      <c r="O162" s="211">
        <f t="shared" ref="O162" si="139">O161*O91</f>
        <v>1047.6358436613307</v>
      </c>
      <c r="P162" s="211">
        <f t="shared" ref="P162" si="140">P161*P91</f>
        <v>1068.5885605345575</v>
      </c>
      <c r="Q162" s="211">
        <f t="shared" ref="Q162" si="141">Q161*Q91</f>
        <v>1089.9603317452486</v>
      </c>
      <c r="R162" s="211">
        <f t="shared" ref="R162" si="142">R161*R91</f>
        <v>592.93842046941529</v>
      </c>
      <c r="S162" s="211">
        <f t="shared" ref="S162" si="143">S161*S91</f>
        <v>306.57623102158215</v>
      </c>
    </row>
    <row r="163" spans="2:19" ht="18" customHeight="1" x14ac:dyDescent="0.25">
      <c r="B163" s="659" t="s">
        <v>290</v>
      </c>
      <c r="C163" s="563" t="s">
        <v>271</v>
      </c>
      <c r="D163" s="165">
        <f t="shared" si="130"/>
        <v>58721.963262708268</v>
      </c>
      <c r="E163" s="177"/>
      <c r="F163" s="227">
        <f>F166+F168+F170+F172+F174</f>
        <v>3438.4890107841939</v>
      </c>
      <c r="G163" s="227">
        <f t="shared" ref="G163:S163" si="144">G166+G168+G170+G172+G174</f>
        <v>3604.6367997852867</v>
      </c>
      <c r="H163" s="227">
        <f t="shared" si="144"/>
        <v>4002.255966776986</v>
      </c>
      <c r="I163" s="227">
        <f t="shared" si="144"/>
        <v>4446.7922545154297</v>
      </c>
      <c r="J163" s="227">
        <f t="shared" si="144"/>
        <v>4535.728099605738</v>
      </c>
      <c r="K163" s="227">
        <f t="shared" si="144"/>
        <v>4626.4426615978518</v>
      </c>
      <c r="L163" s="227">
        <f t="shared" si="144"/>
        <v>4718.971514829811</v>
      </c>
      <c r="M163" s="227">
        <f t="shared" si="144"/>
        <v>4813.3509451264072</v>
      </c>
      <c r="N163" s="227">
        <f t="shared" si="144"/>
        <v>4909.6179640289347</v>
      </c>
      <c r="O163" s="227">
        <f t="shared" si="144"/>
        <v>5007.8103233095144</v>
      </c>
      <c r="P163" s="227">
        <f t="shared" si="144"/>
        <v>5107.9665297757037</v>
      </c>
      <c r="Q163" s="227">
        <f t="shared" si="144"/>
        <v>5210.1258603712186</v>
      </c>
      <c r="R163" s="227">
        <f t="shared" si="144"/>
        <v>2834.3084680419424</v>
      </c>
      <c r="S163" s="227">
        <f t="shared" si="144"/>
        <v>1465.4668641592505</v>
      </c>
    </row>
    <row r="164" spans="2:19" ht="17.25" customHeight="1" x14ac:dyDescent="0.25">
      <c r="B164" s="659"/>
      <c r="C164" s="564" t="s">
        <v>3</v>
      </c>
      <c r="D164" s="228">
        <f>D163/D36</f>
        <v>3.1476980741635621</v>
      </c>
      <c r="E164" s="228"/>
      <c r="F164" s="228">
        <f t="shared" ref="F164" si="145">F163/F36</f>
        <v>2.7507912086273549</v>
      </c>
      <c r="G164" s="228">
        <f t="shared" ref="G164" si="146">G163/G36</f>
        <v>2.7727975382963743</v>
      </c>
      <c r="H164" s="228">
        <f t="shared" ref="H164" si="147">H163/H36</f>
        <v>2.8587542619835613</v>
      </c>
      <c r="I164" s="228">
        <f t="shared" ref="I164" si="148">I163/I36</f>
        <v>2.964528169676953</v>
      </c>
      <c r="J164" s="228">
        <f t="shared" ref="J164" si="149">J163/J36</f>
        <v>3.0238187330704918</v>
      </c>
      <c r="K164" s="228">
        <f t="shared" ref="K164" si="150">K163/K36</f>
        <v>3.0842951077319012</v>
      </c>
      <c r="L164" s="228">
        <f t="shared" ref="L164" si="151">L163/L36</f>
        <v>3.1459810098865408</v>
      </c>
      <c r="M164" s="228">
        <f t="shared" ref="M164" si="152">M163/M36</f>
        <v>3.2089006300842713</v>
      </c>
      <c r="N164" s="228">
        <f t="shared" ref="N164" si="153">N163/N36</f>
        <v>3.2730786426859564</v>
      </c>
      <c r="O164" s="228">
        <f t="shared" ref="O164" si="154">O163/O36</f>
        <v>3.3385402155396764</v>
      </c>
      <c r="P164" s="228">
        <f t="shared" ref="P164" si="155">P163/P36</f>
        <v>3.405311019850469</v>
      </c>
      <c r="Q164" s="228">
        <f t="shared" ref="Q164" si="156">Q163/Q36</f>
        <v>3.4734172402474792</v>
      </c>
      <c r="R164" s="228">
        <f t="shared" ref="R164" si="157">R163/R36</f>
        <v>3.5428855850524279</v>
      </c>
      <c r="S164" s="228">
        <f t="shared" ref="S164" si="158">S163/S36</f>
        <v>3.6137432967534768</v>
      </c>
    </row>
    <row r="165" spans="2:19" x14ac:dyDescent="0.25">
      <c r="B165" s="655" t="s">
        <v>291</v>
      </c>
      <c r="C165" s="193" t="s">
        <v>275</v>
      </c>
      <c r="D165" s="172">
        <f>AVERAGE(F165:S165)</f>
        <v>66.990898967519172</v>
      </c>
      <c r="E165" s="172"/>
      <c r="F165" s="219">
        <f>'И. Д.'!F79</f>
        <v>58.031373997721161</v>
      </c>
      <c r="G165" s="219">
        <f>F165*(1+'цены и инфл'!E29)</f>
        <v>58.495624989702932</v>
      </c>
      <c r="H165" s="219">
        <f>G165*(1+'цены и инфл'!F29)</f>
        <v>60.30898936438372</v>
      </c>
      <c r="I165" s="219">
        <f>H165*(1+'цены и инфл'!G29)</f>
        <v>62.540421970865914</v>
      </c>
      <c r="J165" s="219">
        <f>I165*(1+'цены и инфл'!H29)</f>
        <v>63.791230410283234</v>
      </c>
      <c r="K165" s="219">
        <f>J165*(1+'цены и инфл'!I29)</f>
        <v>65.067055018488901</v>
      </c>
      <c r="L165" s="219">
        <f>K165*(1+'цены и инфл'!J29)</f>
        <v>66.368396118858684</v>
      </c>
      <c r="M165" s="219">
        <f>L165*(1+'цены и инфл'!K29)</f>
        <v>67.695764041235861</v>
      </c>
      <c r="N165" s="219">
        <f>M165*(1+'цены и инфл'!L29)</f>
        <v>69.049679322060584</v>
      </c>
      <c r="O165" s="219">
        <f>N165*(1+'цены и инфл'!M29)</f>
        <v>70.430672908501791</v>
      </c>
      <c r="P165" s="219">
        <f>O165*(1+'цены и инфл'!N29)</f>
        <v>71.839286366671828</v>
      </c>
      <c r="Q165" s="219">
        <f>P165*(1+'цены и инфл'!O29)</f>
        <v>73.276072094005272</v>
      </c>
      <c r="R165" s="219">
        <f>Q165*(1+'цены и инфл'!P29)</f>
        <v>74.741593535885386</v>
      </c>
      <c r="S165" s="219">
        <f>R165*(1+'цены и инфл'!Q29)</f>
        <v>76.23642540660309</v>
      </c>
    </row>
    <row r="166" spans="2:19" x14ac:dyDescent="0.25">
      <c r="B166" s="655"/>
      <c r="C166" s="209" t="s">
        <v>271</v>
      </c>
      <c r="D166" s="165">
        <f t="shared" ref="D166" si="159">SUM(F166:S166)</f>
        <v>18277.966096190918</v>
      </c>
      <c r="E166" s="167"/>
      <c r="F166" s="211">
        <f>F165*F87/1000</f>
        <v>1070.2739157420322</v>
      </c>
      <c r="G166" s="211">
        <f t="shared" ref="G166" si="160">G165*G87/1000</f>
        <v>1121.9895513506874</v>
      </c>
      <c r="H166" s="211">
        <f t="shared" ref="H166" si="161">H165*H87/1000</f>
        <v>1245.7536295535242</v>
      </c>
      <c r="I166" s="211">
        <f t="shared" ref="I166" si="162">I165*I87/1000</f>
        <v>1384.1212648360763</v>
      </c>
      <c r="J166" s="211">
        <f t="shared" ref="J166" si="163">J165*J87/1000</f>
        <v>1411.803690132798</v>
      </c>
      <c r="K166" s="211">
        <f t="shared" ref="K166" si="164">K165*K87/1000</f>
        <v>1440.0397639354539</v>
      </c>
      <c r="L166" s="211">
        <f t="shared" ref="L166" si="165">L165*L87/1000</f>
        <v>1468.8405592141632</v>
      </c>
      <c r="M166" s="211">
        <f t="shared" ref="M166" si="166">M165*M87/1000</f>
        <v>1498.2173703984467</v>
      </c>
      <c r="N166" s="211">
        <f t="shared" ref="N166" si="167">N165*N87/1000</f>
        <v>1528.1817178064157</v>
      </c>
      <c r="O166" s="211">
        <f t="shared" ref="O166" si="168">O165*O87/1000</f>
        <v>1558.7453521625439</v>
      </c>
      <c r="P166" s="211">
        <f t="shared" ref="P166" si="169">P165*P87/1000</f>
        <v>1589.9202592057948</v>
      </c>
      <c r="Q166" s="211">
        <f t="shared" ref="Q166" si="170">Q165*Q87/1000</f>
        <v>1621.7186643899108</v>
      </c>
      <c r="R166" s="211">
        <f t="shared" ref="R166" si="171">R165*R87/1000</f>
        <v>882.21495342811147</v>
      </c>
      <c r="S166" s="211">
        <f t="shared" ref="S166" si="172">S165*S87/1000</f>
        <v>456.14540403495766</v>
      </c>
    </row>
    <row r="167" spans="2:19" x14ac:dyDescent="0.25">
      <c r="B167" s="655" t="s">
        <v>397</v>
      </c>
      <c r="C167" s="193" t="s">
        <v>275</v>
      </c>
      <c r="D167" s="172">
        <f>AVERAGE(F167:S167)</f>
        <v>107.4230299305998</v>
      </c>
      <c r="E167" s="172"/>
      <c r="F167" s="219">
        <f>'И. Д.'!F81</f>
        <v>93.056013905613796</v>
      </c>
      <c r="G167" s="211">
        <f>F167*(1+'цены и инфл'!E29)</f>
        <v>93.800462016858702</v>
      </c>
      <c r="H167" s="211">
        <f>G167*(1+'цены и инфл'!F29)</f>
        <v>96.708276339381314</v>
      </c>
      <c r="I167" s="211">
        <f>H167*(1+'цены и инфл'!G29)</f>
        <v>100.28648256393842</v>
      </c>
      <c r="J167" s="211">
        <f>I167*(1+'цены и инфл'!H29)</f>
        <v>102.29221221521719</v>
      </c>
      <c r="K167" s="211">
        <f>J167*(1+'цены и инфл'!I29)</f>
        <v>104.33805645952154</v>
      </c>
      <c r="L167" s="211">
        <f>K167*(1+'цены и инфл'!J29)</f>
        <v>106.42481758871197</v>
      </c>
      <c r="M167" s="211">
        <f>L167*(1+'цены и инфл'!K29)</f>
        <v>108.55331394048622</v>
      </c>
      <c r="N167" s="211">
        <f>M167*(1+'цены и инфл'!L29)</f>
        <v>110.72438021929595</v>
      </c>
      <c r="O167" s="211">
        <f>N167*(1+'цены и инфл'!M29)</f>
        <v>112.93886782368187</v>
      </c>
      <c r="P167" s="211">
        <f>O167*(1+'цены и инфл'!N29)</f>
        <v>115.19764518015552</v>
      </c>
      <c r="Q167" s="211">
        <f>P167*(1+'цены и инфл'!O29)</f>
        <v>117.50159808375864</v>
      </c>
      <c r="R167" s="211">
        <f>Q167*(1+'цены и инфл'!P29)</f>
        <v>119.85163004543381</v>
      </c>
      <c r="S167" s="211">
        <f>R167*(1+'цены и инфл'!Q29)</f>
        <v>122.24866264634248</v>
      </c>
    </row>
    <row r="168" spans="2:19" x14ac:dyDescent="0.25">
      <c r="B168" s="655"/>
      <c r="C168" s="209" t="s">
        <v>271</v>
      </c>
      <c r="D168" s="165">
        <f t="shared" ref="D168" si="173">SUM(F168:S168)</f>
        <v>12939.864690388895</v>
      </c>
      <c r="E168" s="167"/>
      <c r="F168" s="211">
        <f>F167*F88/1000</f>
        <v>757.69916512979648</v>
      </c>
      <c r="G168" s="211">
        <f>G167*G88/1000</f>
        <v>794.31118878886809</v>
      </c>
      <c r="H168" s="211">
        <f t="shared" ref="H168:S168" si="174">H167*H88/1000</f>
        <v>881.92982299834784</v>
      </c>
      <c r="I168" s="211">
        <f t="shared" si="174"/>
        <v>979.88702833852165</v>
      </c>
      <c r="J168" s="211">
        <f t="shared" si="174"/>
        <v>999.48476890529207</v>
      </c>
      <c r="K168" s="211">
        <f t="shared" si="174"/>
        <v>1019.4744642833979</v>
      </c>
      <c r="L168" s="211">
        <f t="shared" si="174"/>
        <v>1039.8639535690659</v>
      </c>
      <c r="M168" s="211">
        <f t="shared" si="174"/>
        <v>1060.6612326404472</v>
      </c>
      <c r="N168" s="211">
        <f t="shared" si="174"/>
        <v>1081.8744572932565</v>
      </c>
      <c r="O168" s="211">
        <f t="shared" si="174"/>
        <v>1103.5119464391216</v>
      </c>
      <c r="P168" s="211">
        <f t="shared" si="174"/>
        <v>1125.582185367904</v>
      </c>
      <c r="Q168" s="211">
        <f t="shared" si="174"/>
        <v>1148.0938290752622</v>
      </c>
      <c r="R168" s="211">
        <f t="shared" si="174"/>
        <v>624.56304301694229</v>
      </c>
      <c r="S168" s="211">
        <f t="shared" si="174"/>
        <v>322.92760454267295</v>
      </c>
    </row>
    <row r="169" spans="2:19" x14ac:dyDescent="0.25">
      <c r="B169" s="655" t="s">
        <v>292</v>
      </c>
      <c r="C169" s="193" t="s">
        <v>275</v>
      </c>
      <c r="D169" s="172">
        <f>AVERAGE(F169:S169)</f>
        <v>48.189159709254206</v>
      </c>
      <c r="E169" s="172"/>
      <c r="F169" s="219">
        <f>'И. Д.'!F80</f>
        <v>41.744224854775176</v>
      </c>
      <c r="G169" s="219">
        <f>F169*(1+'цены и инфл'!E29)</f>
        <v>42.078178653613378</v>
      </c>
      <c r="H169" s="219">
        <f>G169*(1+'цены и инфл'!F29)</f>
        <v>43.382602191875392</v>
      </c>
      <c r="I169" s="219">
        <f>H169*(1+'цены и инфл'!G29)</f>
        <v>44.987758472974775</v>
      </c>
      <c r="J169" s="219">
        <f>I169*(1+'цены и инфл'!H29)</f>
        <v>45.887513642434271</v>
      </c>
      <c r="K169" s="219">
        <f>J169*(1+'цены и инфл'!I29)</f>
        <v>46.805263915282957</v>
      </c>
      <c r="L169" s="219">
        <f>K169*(1+'цены и инфл'!J29)</f>
        <v>47.741369193588618</v>
      </c>
      <c r="M169" s="219">
        <f>L169*(1+'цены и инфл'!K29)</f>
        <v>48.696196577460391</v>
      </c>
      <c r="N169" s="219">
        <f>M169*(1+'цены и инфл'!L29)</f>
        <v>49.6701205090096</v>
      </c>
      <c r="O169" s="219">
        <f>N169*(1+'цены и инфл'!M29)</f>
        <v>50.663522919189795</v>
      </c>
      <c r="P169" s="219">
        <f>O169*(1+'цены и инфл'!N29)</f>
        <v>51.676793377573588</v>
      </c>
      <c r="Q169" s="219">
        <f>P169*(1+'цены и инфл'!O29)</f>
        <v>52.71032924512506</v>
      </c>
      <c r="R169" s="219">
        <f>Q169*(1+'цены и инфл'!P29)</f>
        <v>53.764535830027562</v>
      </c>
      <c r="S169" s="219">
        <f>R169*(1+'цены и инфл'!Q29)</f>
        <v>54.839826546628117</v>
      </c>
    </row>
    <row r="170" spans="2:19" x14ac:dyDescent="0.25">
      <c r="B170" s="655"/>
      <c r="C170" s="209" t="s">
        <v>271</v>
      </c>
      <c r="D170" s="165">
        <f t="shared" ref="D170" si="175">SUM(F170:S170)</f>
        <v>26918.474051100424</v>
      </c>
      <c r="E170" s="167"/>
      <c r="F170" s="211">
        <f>F169*F89/1000</f>
        <v>1576.2224569655757</v>
      </c>
      <c r="G170" s="211">
        <f t="shared" ref="G170" si="176">G169*G89/1000</f>
        <v>1652.3855260861524</v>
      </c>
      <c r="H170" s="211">
        <f t="shared" ref="H170" si="177">H169*H89/1000</f>
        <v>1834.6563602713479</v>
      </c>
      <c r="I170" s="211">
        <f t="shared" ref="I170" si="178">I169*I89/1000</f>
        <v>2038.434263144344</v>
      </c>
      <c r="J170" s="211">
        <f t="shared" ref="J170" si="179">J169*J89/1000</f>
        <v>2079.2029484072305</v>
      </c>
      <c r="K170" s="211">
        <f t="shared" ref="K170" si="180">K169*K89/1000</f>
        <v>2120.7870073753752</v>
      </c>
      <c r="L170" s="211">
        <f t="shared" ref="L170" si="181">L169*L89/1000</f>
        <v>2163.2027475228833</v>
      </c>
      <c r="M170" s="211">
        <f t="shared" ref="M170" si="182">M169*M89/1000</f>
        <v>2206.4668024733405</v>
      </c>
      <c r="N170" s="211">
        <f t="shared" ref="N170" si="183">N169*N89/1000</f>
        <v>2250.5961385228075</v>
      </c>
      <c r="O170" s="211">
        <f t="shared" ref="O170" si="184">O169*O89/1000</f>
        <v>2295.6080612932637</v>
      </c>
      <c r="P170" s="211">
        <f t="shared" ref="P170" si="185">P169*P89/1000</f>
        <v>2341.5202225191292</v>
      </c>
      <c r="Q170" s="211">
        <f t="shared" ref="Q170" si="186">Q169*Q89/1000</f>
        <v>2388.3506269695117</v>
      </c>
      <c r="R170" s="211">
        <f t="shared" ref="R170" si="187">R169*R89/1000</f>
        <v>1299.2627410714142</v>
      </c>
      <c r="S170" s="211">
        <f t="shared" ref="S170" si="188">S169*S89/1000</f>
        <v>671.77814847805109</v>
      </c>
    </row>
    <row r="171" spans="2:19" x14ac:dyDescent="0.25">
      <c r="B171" s="655" t="s">
        <v>293</v>
      </c>
      <c r="C171" s="193" t="s">
        <v>113</v>
      </c>
      <c r="D171" s="172">
        <f>AVERAGE(F171:S171)</f>
        <v>11.861920242271937</v>
      </c>
      <c r="E171" s="172"/>
      <c r="F171" s="219">
        <f>'И. Д.'!F82</f>
        <v>10.275478318990439</v>
      </c>
      <c r="G171" s="219">
        <f>F171*(1+'цены и инфл'!E29)</f>
        <v>10.357682145542363</v>
      </c>
      <c r="H171" s="219">
        <f>G171*(1+'цены и инфл'!F29)</f>
        <v>10.678770292054175</v>
      </c>
      <c r="I171" s="219">
        <f>H171*(1+'цены и инфл'!G29)</f>
        <v>11.073884792860179</v>
      </c>
      <c r="J171" s="219">
        <f>I171*(1+'цены и инфл'!H29)</f>
        <v>11.295362488717382</v>
      </c>
      <c r="K171" s="219">
        <f>J171*(1+'цены и инфл'!I29)</f>
        <v>11.52126973849173</v>
      </c>
      <c r="L171" s="219">
        <f>K171*(1+'цены и инфл'!J29)</f>
        <v>11.751695133261565</v>
      </c>
      <c r="M171" s="219">
        <f>L171*(1+'цены и инфл'!K29)</f>
        <v>11.986729035926796</v>
      </c>
      <c r="N171" s="219">
        <f>M171*(1+'цены и инфл'!L29)</f>
        <v>12.226463616645333</v>
      </c>
      <c r="O171" s="219">
        <f>N171*(1+'цены и инфл'!M29)</f>
        <v>12.470992888978239</v>
      </c>
      <c r="P171" s="219">
        <f>O171*(1+'цены и инфл'!N29)</f>
        <v>12.720412746757804</v>
      </c>
      <c r="Q171" s="219">
        <f>P171*(1+'цены и инфл'!O29)</f>
        <v>12.974821001692961</v>
      </c>
      <c r="R171" s="219">
        <f>Q171*(1+'цены и инфл'!P29)</f>
        <v>13.23431742172682</v>
      </c>
      <c r="S171" s="219">
        <f>R171*(1+'цены и инфл'!Q29)</f>
        <v>13.499003770161357</v>
      </c>
    </row>
    <row r="172" spans="2:19" x14ac:dyDescent="0.25">
      <c r="B172" s="655"/>
      <c r="C172" s="209" t="s">
        <v>271</v>
      </c>
      <c r="D172" s="165">
        <f t="shared" ref="D172" si="189">SUM(F172:S172)</f>
        <v>72.777262297028386</v>
      </c>
      <c r="E172" s="183"/>
      <c r="F172" s="211">
        <f t="shared" ref="F172:G172" si="190">F171*F90/1000</f>
        <v>4.261502898391849</v>
      </c>
      <c r="G172" s="219">
        <f t="shared" si="190"/>
        <v>4.4674187184421443</v>
      </c>
      <c r="H172" s="219">
        <f t="shared" ref="H172" si="191">H171*H90/1000</f>
        <v>4.9602093678456853</v>
      </c>
      <c r="I172" s="219">
        <f t="shared" ref="I172" si="192">I171*I90/1000</f>
        <v>5.5111469083456868</v>
      </c>
      <c r="J172" s="219">
        <f t="shared" ref="J172" si="193">J171*J90/1000</f>
        <v>5.621369846512601</v>
      </c>
      <c r="K172" s="219">
        <f t="shared" ref="K172" si="194">K171*K90/1000</f>
        <v>5.7337972434428526</v>
      </c>
      <c r="L172" s="219">
        <f t="shared" ref="L172" si="195">L171*L90/1000</f>
        <v>5.8484731883117105</v>
      </c>
      <c r="M172" s="219">
        <f t="shared" ref="M172" si="196">M171*M90/1000</f>
        <v>5.965442652077944</v>
      </c>
      <c r="N172" s="219">
        <f t="shared" ref="N172" si="197">N171*N90/1000</f>
        <v>6.0847515051195034</v>
      </c>
      <c r="O172" s="219">
        <f t="shared" ref="O172" si="198">O171*O90/1000</f>
        <v>6.2064465352218932</v>
      </c>
      <c r="P172" s="219">
        <f t="shared" ref="P172" si="199">P171*P90/1000</f>
        <v>6.3305754659263309</v>
      </c>
      <c r="Q172" s="219">
        <f t="shared" ref="Q172" si="200">Q171*Q90/1000</f>
        <v>6.4571869752448583</v>
      </c>
      <c r="R172" s="219">
        <f t="shared" ref="R172" si="201">R171*R90/1000</f>
        <v>3.5127097145332025</v>
      </c>
      <c r="S172" s="219">
        <f t="shared" ref="S172" si="202">S171*S90/1000</f>
        <v>1.8162312776121343</v>
      </c>
    </row>
    <row r="173" spans="2:19" x14ac:dyDescent="0.25">
      <c r="B173" s="655" t="s">
        <v>294</v>
      </c>
      <c r="C173" s="193" t="s">
        <v>113</v>
      </c>
      <c r="D173" s="172">
        <f>AVERAGE(F173:S173)</f>
        <v>0.62654173921119816</v>
      </c>
      <c r="E173" s="172"/>
      <c r="F173" s="219">
        <f>'И. Д.'!F83</f>
        <v>0.54274653055449484</v>
      </c>
      <c r="G173" s="219">
        <f>F173*(1+'цены и инфл'!E29)</f>
        <v>0.54708850279893084</v>
      </c>
      <c r="H173" s="219">
        <f>G173*(1+'цены и инфл'!F29)</f>
        <v>0.56404824638569762</v>
      </c>
      <c r="I173" s="219">
        <f>H173*(1+'цены и инфл'!G29)</f>
        <v>0.58491803150196842</v>
      </c>
      <c r="J173" s="219">
        <f>I173*(1+'цены и инфл'!H29)</f>
        <v>0.59661639213200779</v>
      </c>
      <c r="K173" s="219">
        <f>J173*(1+'цены и инфл'!I29)</f>
        <v>0.60854871997464799</v>
      </c>
      <c r="L173" s="219">
        <f>K173*(1+'цены и инфл'!J29)</f>
        <v>0.62071969437414098</v>
      </c>
      <c r="M173" s="219">
        <f>L173*(1+'цены и инфл'!K29)</f>
        <v>0.63313408826162376</v>
      </c>
      <c r="N173" s="219">
        <f>M173*(1+'цены и инфл'!L29)</f>
        <v>0.6457967700268562</v>
      </c>
      <c r="O173" s="219">
        <f>N173*(1+'цены и инфл'!M29)</f>
        <v>0.65871270542739335</v>
      </c>
      <c r="P173" s="219">
        <f>O173*(1+'цены и инфл'!N29)</f>
        <v>0.67188695953594124</v>
      </c>
      <c r="Q173" s="219">
        <f>P173*(1+'цены и инфл'!O29)</f>
        <v>0.68532469872666013</v>
      </c>
      <c r="R173" s="219">
        <f>Q173*(1+'цены и инфл'!P29)</f>
        <v>0.69903119270119329</v>
      </c>
      <c r="S173" s="219">
        <f>R173*(1+'цены и инфл'!Q29)</f>
        <v>0.71301181655521717</v>
      </c>
    </row>
    <row r="174" spans="2:19" x14ac:dyDescent="0.25">
      <c r="B174" s="655"/>
      <c r="C174" s="209" t="s">
        <v>271</v>
      </c>
      <c r="D174" s="165">
        <f t="shared" ref="D174" si="203">SUM(F174:S174)</f>
        <v>512.88116273100195</v>
      </c>
      <c r="E174" s="167"/>
      <c r="F174" s="211">
        <f t="shared" ref="F174:G174" si="204">F173*F91/1000</f>
        <v>30.031970048397788</v>
      </c>
      <c r="G174" s="211">
        <f t="shared" si="204"/>
        <v>31.483114841136373</v>
      </c>
      <c r="H174" s="211">
        <f t="shared" ref="H174" si="205">H173*H91/1000</f>
        <v>34.955944585920172</v>
      </c>
      <c r="I174" s="211">
        <f t="shared" ref="I174" si="206">I173*I91/1000</f>
        <v>38.838551288142021</v>
      </c>
      <c r="J174" s="211">
        <f t="shared" ref="J174" si="207">J173*J91/1000</f>
        <v>39.615322313904862</v>
      </c>
      <c r="K174" s="211">
        <f t="shared" ref="K174" si="208">K173*K91/1000</f>
        <v>40.407628760182959</v>
      </c>
      <c r="L174" s="211">
        <f t="shared" ref="L174" si="209">L173*L91/1000</f>
        <v>41.215781335386623</v>
      </c>
      <c r="M174" s="211">
        <f t="shared" ref="M174" si="210">M173*M91/1000</f>
        <v>42.04009696209436</v>
      </c>
      <c r="N174" s="211">
        <f t="shared" ref="N174" si="211">N173*N91/1000</f>
        <v>42.880898901336238</v>
      </c>
      <c r="O174" s="211">
        <f t="shared" ref="O174" si="212">O173*O91/1000</f>
        <v>43.738516879362962</v>
      </c>
      <c r="P174" s="211">
        <f t="shared" ref="P174" si="213">P173*P91/1000</f>
        <v>44.613287216950226</v>
      </c>
      <c r="Q174" s="211">
        <f t="shared" ref="Q174" si="214">Q173*Q91/1000</f>
        <v>45.505552961289233</v>
      </c>
      <c r="R174" s="211">
        <f t="shared" ref="R174" si="215">R173*R91/1000</f>
        <v>24.755020810941343</v>
      </c>
      <c r="S174" s="211">
        <f t="shared" ref="S174" si="216">S173*S91/1000</f>
        <v>12.799475825956693</v>
      </c>
    </row>
    <row r="175" spans="2:19" x14ac:dyDescent="0.25">
      <c r="B175" s="656" t="s">
        <v>295</v>
      </c>
      <c r="C175" s="564" t="s">
        <v>3</v>
      </c>
      <c r="D175" s="172">
        <f>AVERAGE(F175:S175)</f>
        <v>22.51062554400179</v>
      </c>
      <c r="E175" s="228"/>
      <c r="F175" s="228">
        <f>'И. Д.'!F84</f>
        <v>19.5</v>
      </c>
      <c r="G175" s="228">
        <f>F175*(1+'цены и инфл'!E29)</f>
        <v>19.655999999999999</v>
      </c>
      <c r="H175" s="228">
        <f>G175*(1+'цены и инфл'!F29)</f>
        <v>20.265335999999998</v>
      </c>
      <c r="I175" s="228">
        <f>H175*(1+'цены и инфл'!G29)</f>
        <v>21.015153431999995</v>
      </c>
      <c r="J175" s="228">
        <f>I175*(1+'цены и инфл'!H29)</f>
        <v>21.435456500639994</v>
      </c>
      <c r="K175" s="228">
        <f>J175*(1+'цены и инфл'!I29)</f>
        <v>21.864165630652796</v>
      </c>
      <c r="L175" s="228">
        <f>K175*(1+'цены и инфл'!J29)</f>
        <v>22.301448943265854</v>
      </c>
      <c r="M175" s="228">
        <f>L175*(1+'цены и инфл'!K29)</f>
        <v>22.747477922131171</v>
      </c>
      <c r="N175" s="228">
        <f>M175*(1+'цены и инфл'!L29)</f>
        <v>23.202427480573796</v>
      </c>
      <c r="O175" s="228">
        <f>N175*(1+'цены и инфл'!M29)</f>
        <v>23.666476030185272</v>
      </c>
      <c r="P175" s="228">
        <f>O175*(1+'цены и инфл'!N29)</f>
        <v>24.139805550788978</v>
      </c>
      <c r="Q175" s="228">
        <f>P175*(1+'цены и инфл'!O29)</f>
        <v>24.622601661804758</v>
      </c>
      <c r="R175" s="228">
        <f>Q175*(1+'цены и инфл'!P29)</f>
        <v>25.115053695040853</v>
      </c>
      <c r="S175" s="228">
        <f>R175*(1+'цены и инфл'!Q29)</f>
        <v>25.61735476894167</v>
      </c>
    </row>
    <row r="176" spans="2:19" x14ac:dyDescent="0.25">
      <c r="B176" s="657"/>
      <c r="C176" s="563" t="s">
        <v>271</v>
      </c>
      <c r="D176" s="165">
        <f t="shared" ref="D176:D178" si="217">SUM(F176:S176)</f>
        <v>416272.33649412647</v>
      </c>
      <c r="E176" s="177"/>
      <c r="F176" s="227">
        <f t="shared" ref="F176" si="218">F175*F22</f>
        <v>24375</v>
      </c>
      <c r="G176" s="227">
        <f t="shared" ref="G176" si="219">G175*G22</f>
        <v>25552.799999999999</v>
      </c>
      <c r="H176" s="227">
        <f t="shared" ref="H176" si="220">H175*H22</f>
        <v>28371.470399999998</v>
      </c>
      <c r="I176" s="227">
        <f t="shared" ref="I176" si="221">I175*I22</f>
        <v>31522.730147999991</v>
      </c>
      <c r="J176" s="227">
        <f t="shared" ref="J176" si="222">J175*J22</f>
        <v>32153.18475095999</v>
      </c>
      <c r="K176" s="227">
        <f t="shared" ref="K176" si="223">K175*K22</f>
        <v>32796.248445979196</v>
      </c>
      <c r="L176" s="227">
        <f t="shared" ref="L176" si="224">L175*L22</f>
        <v>33452.173414898782</v>
      </c>
      <c r="M176" s="227">
        <f t="shared" ref="M176" si="225">M175*M22</f>
        <v>34121.216883196757</v>
      </c>
      <c r="N176" s="227">
        <f t="shared" ref="N176" si="226">N175*N22</f>
        <v>34803.641220860693</v>
      </c>
      <c r="O176" s="227">
        <f t="shared" ref="O176" si="227">O175*O22</f>
        <v>35499.714045277906</v>
      </c>
      <c r="P176" s="227">
        <f t="shared" ref="P176" si="228">P175*P22</f>
        <v>36209.70832618347</v>
      </c>
      <c r="Q176" s="227">
        <f t="shared" ref="Q176" si="229">Q175*Q22</f>
        <v>36933.902492707137</v>
      </c>
      <c r="R176" s="227">
        <f t="shared" ref="R176" si="230">R175*R22</f>
        <v>20092.042956032681</v>
      </c>
      <c r="S176" s="227">
        <f t="shared" ref="S176" si="231">S175*S22</f>
        <v>10388.50341002984</v>
      </c>
    </row>
    <row r="177" spans="2:19" x14ac:dyDescent="0.25">
      <c r="B177" s="210"/>
      <c r="C177" s="209"/>
      <c r="D177" s="183"/>
      <c r="E177" s="183"/>
      <c r="F177" s="211"/>
      <c r="G177" s="211"/>
      <c r="H177" s="211"/>
      <c r="I177" s="211"/>
      <c r="J177" s="211"/>
      <c r="K177" s="211"/>
      <c r="L177" s="211"/>
      <c r="M177" s="168"/>
      <c r="N177" s="168"/>
      <c r="O177" s="168"/>
      <c r="P177" s="168"/>
      <c r="Q177" s="168"/>
      <c r="R177" s="168"/>
      <c r="S177" s="168"/>
    </row>
    <row r="178" spans="2:19" x14ac:dyDescent="0.25">
      <c r="B178" s="664" t="s">
        <v>296</v>
      </c>
      <c r="C178" s="563" t="s">
        <v>271</v>
      </c>
      <c r="D178" s="165">
        <f t="shared" si="217"/>
        <v>730444.12077866495</v>
      </c>
      <c r="E178" s="177"/>
      <c r="F178" s="233">
        <f>F181+F200+F202+F203+F204+F205+F206+F211</f>
        <v>46627.432882553141</v>
      </c>
      <c r="G178" s="233">
        <f t="shared" ref="G178:S178" si="232">G181+G200+G202+G203+G204+G205+G206+G211</f>
        <v>48907.013398211027</v>
      </c>
      <c r="H178" s="233">
        <f t="shared" si="232"/>
        <v>52785.600505074923</v>
      </c>
      <c r="I178" s="233">
        <f t="shared" si="232"/>
        <v>54683.671654024904</v>
      </c>
      <c r="J178" s="233">
        <f t="shared" si="232"/>
        <v>55633.978969649375</v>
      </c>
      <c r="K178" s="233">
        <f t="shared" si="232"/>
        <v>56618.018375050851</v>
      </c>
      <c r="L178" s="233">
        <f t="shared" si="232"/>
        <v>57634.445275757367</v>
      </c>
      <c r="M178" s="233">
        <f t="shared" si="232"/>
        <v>58682.641501199083</v>
      </c>
      <c r="N178" s="233">
        <f t="shared" si="232"/>
        <v>59762.103016300367</v>
      </c>
      <c r="O178" s="233">
        <f t="shared" si="232"/>
        <v>60872.42955612536</v>
      </c>
      <c r="P178" s="233">
        <f t="shared" si="232"/>
        <v>62013.315317987188</v>
      </c>
      <c r="Q178" s="233">
        <f t="shared" si="232"/>
        <v>63183.691083383303</v>
      </c>
      <c r="R178" s="233">
        <f t="shared" si="232"/>
        <v>34749.974275495195</v>
      </c>
      <c r="S178" s="233">
        <f t="shared" si="232"/>
        <v>18289.804967852833</v>
      </c>
    </row>
    <row r="179" spans="2:19" x14ac:dyDescent="0.25">
      <c r="B179" s="664"/>
      <c r="C179" s="564" t="s">
        <v>3</v>
      </c>
      <c r="D179" s="234">
        <f>D178/D22</f>
        <v>39.15430316886615</v>
      </c>
      <c r="E179" s="234"/>
      <c r="F179" s="234">
        <f t="shared" ref="F179:S179" si="233">F178/F22</f>
        <v>37.30194630604251</v>
      </c>
      <c r="G179" s="234">
        <f t="shared" si="233"/>
        <v>37.620779537085404</v>
      </c>
      <c r="H179" s="234">
        <f t="shared" si="233"/>
        <v>37.7040003607678</v>
      </c>
      <c r="I179" s="234">
        <f t="shared" si="233"/>
        <v>36.455781102683268</v>
      </c>
      <c r="J179" s="234">
        <f t="shared" si="233"/>
        <v>37.089319313099587</v>
      </c>
      <c r="K179" s="234">
        <f t="shared" si="233"/>
        <v>37.745345583367232</v>
      </c>
      <c r="L179" s="234">
        <f t="shared" si="233"/>
        <v>38.422963517171581</v>
      </c>
      <c r="M179" s="234">
        <f t="shared" si="233"/>
        <v>39.121761000799388</v>
      </c>
      <c r="N179" s="234">
        <f t="shared" si="233"/>
        <v>39.841402010866908</v>
      </c>
      <c r="O179" s="234">
        <f t="shared" si="233"/>
        <v>40.581619704083572</v>
      </c>
      <c r="P179" s="234">
        <f t="shared" si="233"/>
        <v>41.342210211991457</v>
      </c>
      <c r="Q179" s="234">
        <f t="shared" si="233"/>
        <v>42.122460722255532</v>
      </c>
      <c r="R179" s="234">
        <f t="shared" si="233"/>
        <v>43.437467844368996</v>
      </c>
      <c r="S179" s="234">
        <f t="shared" si="233"/>
        <v>45.101436080184335</v>
      </c>
    </row>
    <row r="180" spans="2:19" x14ac:dyDescent="0.25">
      <c r="B180" s="168" t="s">
        <v>272</v>
      </c>
      <c r="C180" s="235"/>
      <c r="D180" s="167"/>
      <c r="E180" s="167"/>
      <c r="F180" s="234"/>
      <c r="G180" s="234"/>
      <c r="H180" s="234"/>
      <c r="I180" s="234"/>
      <c r="J180" s="234"/>
      <c r="K180" s="234"/>
      <c r="L180" s="234"/>
      <c r="M180" s="234"/>
      <c r="N180" s="234"/>
      <c r="O180" s="234"/>
      <c r="P180" s="234"/>
      <c r="Q180" s="234"/>
      <c r="R180" s="234"/>
      <c r="S180" s="234"/>
    </row>
    <row r="181" spans="2:19" x14ac:dyDescent="0.25">
      <c r="B181" s="665" t="s">
        <v>297</v>
      </c>
      <c r="C181" s="563" t="s">
        <v>271</v>
      </c>
      <c r="D181" s="165">
        <f t="shared" ref="D181" si="234">SUM(F181:S181)</f>
        <v>664172.33440103999</v>
      </c>
      <c r="E181" s="177"/>
      <c r="F181" s="234">
        <f t="shared" ref="F181" si="235">F183+F184+F185+F186+F187</f>
        <v>41634.70136641604</v>
      </c>
      <c r="G181" s="234">
        <f>G183+G184+G185+G186+G187</f>
        <v>43872.153605069492</v>
      </c>
      <c r="H181" s="234">
        <f t="shared" ref="H181:S181" si="236">H183+H184+H185+H186+H187</f>
        <v>47644.750384067047</v>
      </c>
      <c r="I181" s="234">
        <f t="shared" si="236"/>
        <v>49528.275546173849</v>
      </c>
      <c r="J181" s="234">
        <f t="shared" si="236"/>
        <v>50518.841057097328</v>
      </c>
      <c r="K181" s="234">
        <f t="shared" si="236"/>
        <v>51529.217878239273</v>
      </c>
      <c r="L181" s="234">
        <f t="shared" si="236"/>
        <v>52559.802235804069</v>
      </c>
      <c r="M181" s="234">
        <f t="shared" si="236"/>
        <v>53610.998280520143</v>
      </c>
      <c r="N181" s="234">
        <f t="shared" si="236"/>
        <v>54683.218246130549</v>
      </c>
      <c r="O181" s="234">
        <f t="shared" si="236"/>
        <v>55776.882611053166</v>
      </c>
      <c r="P181" s="234">
        <f t="shared" si="236"/>
        <v>56892.420263274238</v>
      </c>
      <c r="Q181" s="234">
        <f t="shared" si="236"/>
        <v>58030.26866853972</v>
      </c>
      <c r="R181" s="234">
        <f t="shared" si="236"/>
        <v>31568.466155685604</v>
      </c>
      <c r="S181" s="234">
        <f t="shared" si="236"/>
        <v>16322.338102969465</v>
      </c>
    </row>
    <row r="182" spans="2:19" x14ac:dyDescent="0.25">
      <c r="B182" s="665"/>
      <c r="C182" s="564" t="s">
        <v>3</v>
      </c>
      <c r="D182" s="236">
        <f>D181/D22</f>
        <v>35.60190875352643</v>
      </c>
      <c r="E182" s="236"/>
      <c r="F182" s="236">
        <f t="shared" ref="F182:S182" si="237">F181/F22</f>
        <v>33.307761093132832</v>
      </c>
      <c r="G182" s="236">
        <f t="shared" si="237"/>
        <v>33.747810465438072</v>
      </c>
      <c r="H182" s="236">
        <f t="shared" si="237"/>
        <v>34.031964560047889</v>
      </c>
      <c r="I182" s="236">
        <f t="shared" si="237"/>
        <v>33.018850364115899</v>
      </c>
      <c r="J182" s="236">
        <f t="shared" si="237"/>
        <v>33.67922737139822</v>
      </c>
      <c r="K182" s="236">
        <f t="shared" si="237"/>
        <v>34.352811918826184</v>
      </c>
      <c r="L182" s="236">
        <f t="shared" si="237"/>
        <v>35.039868157202712</v>
      </c>
      <c r="M182" s="236">
        <f t="shared" si="237"/>
        <v>35.740665520346759</v>
      </c>
      <c r="N182" s="236">
        <f t="shared" si="237"/>
        <v>36.455478830753698</v>
      </c>
      <c r="O182" s="236">
        <f t="shared" si="237"/>
        <v>37.184588407368778</v>
      </c>
      <c r="P182" s="236">
        <f t="shared" si="237"/>
        <v>37.928280175516157</v>
      </c>
      <c r="Q182" s="236">
        <f t="shared" si="237"/>
        <v>38.686845779026477</v>
      </c>
      <c r="R182" s="236">
        <f t="shared" si="237"/>
        <v>39.460582694607005</v>
      </c>
      <c r="S182" s="236">
        <f t="shared" si="237"/>
        <v>40.249794348499144</v>
      </c>
    </row>
    <row r="183" spans="2:19" x14ac:dyDescent="0.25">
      <c r="B183" s="169" t="s">
        <v>219</v>
      </c>
      <c r="C183" s="237" t="s">
        <v>271</v>
      </c>
      <c r="D183" s="183">
        <f t="shared" ref="D183:D193" si="238">SUM(F183:S183)</f>
        <v>267074.98078754824</v>
      </c>
      <c r="E183" s="167"/>
      <c r="F183" s="238">
        <f>F189*F195*'цены и инфл'!D4/1000</f>
        <v>16547.527914785143</v>
      </c>
      <c r="G183" s="238">
        <f>G189*G195*'цены и инфл'!E4/1000</f>
        <v>19010.415790474093</v>
      </c>
      <c r="H183" s="238">
        <f>H189*H195*'цены и инфл'!F4/1000</f>
        <v>19826.247399296059</v>
      </c>
      <c r="I183" s="238">
        <f>I189*I195*'цены и инфл'!G4/1000</f>
        <v>19744.388850606039</v>
      </c>
      <c r="J183" s="238">
        <f>J189*J195*'цены и инфл'!H4/1000</f>
        <v>20139.276627618161</v>
      </c>
      <c r="K183" s="238">
        <f>K189*K195*'цены и инфл'!I4/1000</f>
        <v>20542.062160170524</v>
      </c>
      <c r="L183" s="238">
        <f>L189*L195*'цены и инфл'!J4/1000</f>
        <v>20952.903403373934</v>
      </c>
      <c r="M183" s="238">
        <f>M189*M195*'цены и инфл'!K4/1000</f>
        <v>21371.961471441413</v>
      </c>
      <c r="N183" s="238">
        <f>N189*N195*'цены и инфл'!L4/1000</f>
        <v>21799.400700870243</v>
      </c>
      <c r="O183" s="238">
        <f>O189*O195*'цены и инфл'!M4/1000</f>
        <v>22235.388714887649</v>
      </c>
      <c r="P183" s="238">
        <f>P189*P195*'цены и инфл'!N4/1000</f>
        <v>22680.096489185409</v>
      </c>
      <c r="Q183" s="238">
        <f>Q189*Q195*'цены и инфл'!O4/1000</f>
        <v>23133.698418969114</v>
      </c>
      <c r="R183" s="238">
        <f>R189*R195*'цены и инфл'!P4/1000</f>
        <v>12584.7319399192</v>
      </c>
      <c r="S183" s="238">
        <f>S189*S195*'цены и инфл'!Q4/1000</f>
        <v>6506.8809059512832</v>
      </c>
    </row>
    <row r="184" spans="2:19" x14ac:dyDescent="0.25">
      <c r="B184" s="169" t="s">
        <v>220</v>
      </c>
      <c r="C184" s="237" t="s">
        <v>271</v>
      </c>
      <c r="D184" s="183">
        <f t="shared" si="238"/>
        <v>201666.88436265916</v>
      </c>
      <c r="E184" s="167"/>
      <c r="F184" s="238">
        <f>F190*F196*'цены и инфл'!D5/1000</f>
        <v>12121.615533649385</v>
      </c>
      <c r="G184" s="238">
        <f>G190*G196*'цены и инфл'!E5/1000</f>
        <v>12606.480154995361</v>
      </c>
      <c r="H184" s="238">
        <f>H190*H196*'цены и инфл'!F5/1000</f>
        <v>14620.533197509414</v>
      </c>
      <c r="I184" s="238">
        <f>I190*I196*'цены и инфл'!G5/1000</f>
        <v>15139.41517474345</v>
      </c>
      <c r="J184" s="238">
        <f>J190*J196*'цены и инфл'!H5/1000</f>
        <v>15442.203478238316</v>
      </c>
      <c r="K184" s="238">
        <f>K190*K196*'цены и инфл'!I5/1000</f>
        <v>15751.047547803086</v>
      </c>
      <c r="L184" s="238">
        <f>L190*L196*'цены и инфл'!J5/1000</f>
        <v>16066.068498759147</v>
      </c>
      <c r="M184" s="238">
        <f>M190*M196*'цены и инфл'!K5/1000</f>
        <v>16387.389868734332</v>
      </c>
      <c r="N184" s="238">
        <f>N190*N196*'цены и инфл'!L5/1000</f>
        <v>16715.137666109014</v>
      </c>
      <c r="O184" s="238">
        <f>O190*O196*'цены и инфл'!M5/1000</f>
        <v>17049.440419431194</v>
      </c>
      <c r="P184" s="238">
        <f>P190*P196*'цены и инфл'!N5/1000</f>
        <v>17390.429227819823</v>
      </c>
      <c r="Q184" s="238">
        <f>Q190*Q196*'цены и инфл'!O5/1000</f>
        <v>17738.237812376217</v>
      </c>
      <c r="R184" s="238">
        <f>R190*R196*'цены и инфл'!P5/1000</f>
        <v>9649.6013699326631</v>
      </c>
      <c r="S184" s="238">
        <f>S190*S196*'цены и инфл'!Q5/1000</f>
        <v>4989.284412557724</v>
      </c>
    </row>
    <row r="185" spans="2:19" x14ac:dyDescent="0.25">
      <c r="B185" s="171" t="s">
        <v>221</v>
      </c>
      <c r="C185" s="237" t="s">
        <v>271</v>
      </c>
      <c r="D185" s="183">
        <f t="shared" si="238"/>
        <v>44770.137376046798</v>
      </c>
      <c r="E185" s="167"/>
      <c r="F185" s="238">
        <f>F191*F197*'цены и инфл'!D8/1000</f>
        <v>2852.7279262991565</v>
      </c>
      <c r="G185" s="238">
        <f>G191*G197*'цены и инфл'!E8/1000</f>
        <v>2966.8370433511227</v>
      </c>
      <c r="H185" s="238">
        <f>H191*H197*'цены и инфл'!F8/1000</f>
        <v>3195.0552774550551</v>
      </c>
      <c r="I185" s="238">
        <f>I191*I197*'цены и инфл'!G8/1000</f>
        <v>3334.9152072488218</v>
      </c>
      <c r="J185" s="238">
        <f>J191*J197*'цены и инфл'!H8/1000</f>
        <v>3401.6135113937985</v>
      </c>
      <c r="K185" s="238">
        <f>K191*K197*'цены и инфл'!I8/1000</f>
        <v>3469.6457816216744</v>
      </c>
      <c r="L185" s="238">
        <f>L191*L197*'цены и инфл'!J8/1000</f>
        <v>3539.0386972541082</v>
      </c>
      <c r="M185" s="238">
        <f>M191*M197*'цены и инфл'!K8/1000</f>
        <v>3609.8194711991905</v>
      </c>
      <c r="N185" s="238">
        <f>N191*N197*'цены и инфл'!L8/1000</f>
        <v>3682.0158606231744</v>
      </c>
      <c r="O185" s="238">
        <f>O191*O197*'цены и инфл'!M8/1000</f>
        <v>3755.6561778356381</v>
      </c>
      <c r="P185" s="238">
        <f>P191*P197*'цены и инфл'!N8/1000</f>
        <v>3830.7693013923504</v>
      </c>
      <c r="Q185" s="238">
        <f>Q191*Q197*'цены и инфл'!O8/1000</f>
        <v>3907.3846874201972</v>
      </c>
      <c r="R185" s="238">
        <f>R191*R197*'цены и инфл'!P8/1000</f>
        <v>2125.6172699565868</v>
      </c>
      <c r="S185" s="238">
        <f>S191*S197*'цены и инфл'!Q8/1000</f>
        <v>1099.0411629959292</v>
      </c>
    </row>
    <row r="186" spans="2:19" x14ac:dyDescent="0.25">
      <c r="B186" s="169" t="s">
        <v>222</v>
      </c>
      <c r="C186" s="237" t="s">
        <v>271</v>
      </c>
      <c r="D186" s="183">
        <f t="shared" si="238"/>
        <v>58861.70512269115</v>
      </c>
      <c r="E186" s="167"/>
      <c r="F186" s="238">
        <f>F192*F198*'цены и инфл'!D6/31.1035</f>
        <v>4261.1701007362035</v>
      </c>
      <c r="G186" s="238">
        <f>G192*G198*'цены и инфл'!E6/31.1035</f>
        <v>3731.8879198026534</v>
      </c>
      <c r="H186" s="238">
        <f>H192*H198*'цены и инфл'!F6/31.1035</f>
        <v>4018.9562213259342</v>
      </c>
      <c r="I186" s="238">
        <f>I192*I198*'цены и инфл'!G6/31.1035</f>
        <v>4369.6682112006056</v>
      </c>
      <c r="J186" s="238">
        <f>J192*J198*'цены и инфл'!H6/31.1035</f>
        <v>4457.0615754246182</v>
      </c>
      <c r="K186" s="238">
        <f>K192*K198*'цены и инфл'!I6/31.1035</f>
        <v>4546.2028069331109</v>
      </c>
      <c r="L186" s="238">
        <f>L192*L198*'цены и инфл'!J6/31.1035</f>
        <v>4637.1268630717723</v>
      </c>
      <c r="M186" s="238">
        <f>M192*M198*'цены и инфл'!K6/31.1035</f>
        <v>4729.8694003332084</v>
      </c>
      <c r="N186" s="238">
        <f>N192*N198*'цены и инфл'!L6/31.1035</f>
        <v>4824.4667883398724</v>
      </c>
      <c r="O186" s="238">
        <f>O192*O198*'цены и инфл'!M6/31.1035</f>
        <v>4920.9561241066704</v>
      </c>
      <c r="P186" s="238">
        <f>P192*P198*'цены и инфл'!N6/31.1035</f>
        <v>5019.3752465888037</v>
      </c>
      <c r="Q186" s="238">
        <f>Q192*Q198*'цены и инфл'!O6/31.1035</f>
        <v>5119.7627515205795</v>
      </c>
      <c r="R186" s="238">
        <f>R192*R198*'цены и инфл'!P6/31.1035</f>
        <v>2785.1509368271954</v>
      </c>
      <c r="S186" s="238">
        <f>S192*S198*'цены и инфл'!Q6/31.1035</f>
        <v>1440.0501764799262</v>
      </c>
    </row>
    <row r="187" spans="2:19" x14ac:dyDescent="0.25">
      <c r="B187" s="169" t="s">
        <v>224</v>
      </c>
      <c r="C187" s="237" t="s">
        <v>271</v>
      </c>
      <c r="D187" s="183">
        <f t="shared" si="238"/>
        <v>91798.626752094628</v>
      </c>
      <c r="E187" s="167"/>
      <c r="F187" s="238">
        <f>F193*F199*'цены и инфл'!D7/31.1035</f>
        <v>5851.6598909461482</v>
      </c>
      <c r="G187" s="238">
        <f>G193*G199*'цены и инфл'!E7/31.1035</f>
        <v>5556.5326964462556</v>
      </c>
      <c r="H187" s="238">
        <f>H193*H199*'цены и инфл'!F7/31.1035</f>
        <v>5983.9582884805832</v>
      </c>
      <c r="I187" s="238">
        <f>I193*I199*'цены и инфл'!G7/31.1035</f>
        <v>6939.8881023749354</v>
      </c>
      <c r="J187" s="238">
        <f>J193*J199*'цены и инфл'!H7/31.1035</f>
        <v>7078.685864422434</v>
      </c>
      <c r="K187" s="238">
        <f>K193*K199*'цены и инфл'!I7/31.1035</f>
        <v>7220.2595817108831</v>
      </c>
      <c r="L187" s="238">
        <f>L193*L199*'цены и инфл'!J7/31.1035</f>
        <v>7364.6647733451009</v>
      </c>
      <c r="M187" s="238">
        <f>M193*M199*'цены и инфл'!K7/31.1035</f>
        <v>7511.9580688120022</v>
      </c>
      <c r="N187" s="238">
        <f>N193*N199*'цены и инфл'!L7/31.1035</f>
        <v>7662.1972301882424</v>
      </c>
      <c r="O187" s="238">
        <f>O193*O199*'цены и инфл'!M7/31.1035</f>
        <v>7815.4411747920076</v>
      </c>
      <c r="P187" s="238">
        <f>P193*P199*'цены и инфл'!N7/31.1035</f>
        <v>7971.749998287848</v>
      </c>
      <c r="Q187" s="238">
        <f>Q193*Q199*'цены и инфл'!O7/31.1035</f>
        <v>8131.184998253605</v>
      </c>
      <c r="R187" s="238">
        <f>R193*R199*'цены и инфл'!P7/31.1035</f>
        <v>4423.3646390499607</v>
      </c>
      <c r="S187" s="238">
        <f>S193*S199*'цены и инфл'!Q7/31.1035</f>
        <v>2287.0814449846025</v>
      </c>
    </row>
    <row r="188" spans="2:19" x14ac:dyDescent="0.25">
      <c r="B188" s="239" t="s">
        <v>298</v>
      </c>
      <c r="C188" s="235"/>
      <c r="D188" s="167"/>
      <c r="E188" s="167"/>
      <c r="F188" s="238"/>
      <c r="G188" s="238"/>
      <c r="H188" s="238"/>
      <c r="I188" s="238"/>
      <c r="J188" s="238"/>
      <c r="K188" s="238"/>
      <c r="L188" s="238"/>
      <c r="M188" s="238"/>
      <c r="N188" s="238"/>
      <c r="O188" s="238"/>
      <c r="P188" s="238"/>
      <c r="Q188" s="238"/>
      <c r="R188" s="238"/>
      <c r="S188" s="238"/>
    </row>
    <row r="189" spans="2:19" x14ac:dyDescent="0.25">
      <c r="B189" s="169" t="s">
        <v>219</v>
      </c>
      <c r="C189" s="179" t="s">
        <v>231</v>
      </c>
      <c r="D189" s="183">
        <f t="shared" si="238"/>
        <v>335866</v>
      </c>
      <c r="E189" s="183"/>
      <c r="F189" s="238">
        <f>F30</f>
        <v>22504.457928444364</v>
      </c>
      <c r="G189" s="238">
        <f t="shared" ref="G189:S189" si="239">G30</f>
        <v>23404.63624558214</v>
      </c>
      <c r="H189" s="238">
        <f t="shared" si="239"/>
        <v>25204.992879857688</v>
      </c>
      <c r="I189" s="238">
        <f t="shared" si="239"/>
        <v>27005.349514133235</v>
      </c>
      <c r="J189" s="238">
        <f t="shared" si="239"/>
        <v>27005.349514133235</v>
      </c>
      <c r="K189" s="238">
        <f t="shared" si="239"/>
        <v>27005.349514133235</v>
      </c>
      <c r="L189" s="238">
        <f t="shared" si="239"/>
        <v>27005.349514133235</v>
      </c>
      <c r="M189" s="238">
        <f t="shared" si="239"/>
        <v>27005.349514133235</v>
      </c>
      <c r="N189" s="238">
        <f t="shared" si="239"/>
        <v>27005.349514133235</v>
      </c>
      <c r="O189" s="238">
        <f t="shared" si="239"/>
        <v>27005.349514133235</v>
      </c>
      <c r="P189" s="238">
        <f t="shared" si="239"/>
        <v>27005.349514133235</v>
      </c>
      <c r="Q189" s="238">
        <f t="shared" si="239"/>
        <v>27005.349514133235</v>
      </c>
      <c r="R189" s="238">
        <f t="shared" si="239"/>
        <v>14402.853074204391</v>
      </c>
      <c r="S189" s="238">
        <f t="shared" si="239"/>
        <v>7300.9142447122622</v>
      </c>
    </row>
    <row r="190" spans="2:19" x14ac:dyDescent="0.25">
      <c r="B190" s="169" t="s">
        <v>220</v>
      </c>
      <c r="C190" s="179" t="s">
        <v>231</v>
      </c>
      <c r="D190" s="183">
        <f t="shared" si="238"/>
        <v>662667</v>
      </c>
      <c r="E190" s="183"/>
      <c r="F190" s="238">
        <f t="shared" ref="F190:S190" si="240">F31</f>
        <v>44401.522101279799</v>
      </c>
      <c r="G190" s="238">
        <f t="shared" si="240"/>
        <v>46177.582985330992</v>
      </c>
      <c r="H190" s="238">
        <f t="shared" si="240"/>
        <v>49729.704753433383</v>
      </c>
      <c r="I190" s="238">
        <f t="shared" si="240"/>
        <v>53281.826521535761</v>
      </c>
      <c r="J190" s="238">
        <f t="shared" si="240"/>
        <v>53281.826521535761</v>
      </c>
      <c r="K190" s="238">
        <f t="shared" si="240"/>
        <v>53281.826521535761</v>
      </c>
      <c r="L190" s="238">
        <f t="shared" si="240"/>
        <v>53281.826521535761</v>
      </c>
      <c r="M190" s="238">
        <f t="shared" si="240"/>
        <v>53281.826521535761</v>
      </c>
      <c r="N190" s="238">
        <f t="shared" si="240"/>
        <v>53281.826521535761</v>
      </c>
      <c r="O190" s="238">
        <f t="shared" si="240"/>
        <v>53281.826521535761</v>
      </c>
      <c r="P190" s="238">
        <f t="shared" si="240"/>
        <v>53281.826521535761</v>
      </c>
      <c r="Q190" s="238">
        <f t="shared" si="240"/>
        <v>53281.826521535761</v>
      </c>
      <c r="R190" s="238">
        <f t="shared" si="240"/>
        <v>28416.974144819073</v>
      </c>
      <c r="S190" s="238">
        <f t="shared" si="240"/>
        <v>14404.777321314874</v>
      </c>
    </row>
    <row r="191" spans="2:19" x14ac:dyDescent="0.25">
      <c r="B191" s="171" t="s">
        <v>221</v>
      </c>
      <c r="C191" s="179" t="s">
        <v>231</v>
      </c>
      <c r="D191" s="183">
        <f t="shared" si="238"/>
        <v>204689</v>
      </c>
      <c r="E191" s="183"/>
      <c r="F191" s="238">
        <f t="shared" ref="F191:S191" si="241">F32</f>
        <v>13715.038107207483</v>
      </c>
      <c r="G191" s="238">
        <f t="shared" si="241"/>
        <v>14263.639631495782</v>
      </c>
      <c r="H191" s="238">
        <f t="shared" si="241"/>
        <v>15360.842680072381</v>
      </c>
      <c r="I191" s="238">
        <f t="shared" si="241"/>
        <v>16458.04572864898</v>
      </c>
      <c r="J191" s="238">
        <f t="shared" si="241"/>
        <v>16458.04572864898</v>
      </c>
      <c r="K191" s="238">
        <f t="shared" si="241"/>
        <v>16458.04572864898</v>
      </c>
      <c r="L191" s="238">
        <f t="shared" si="241"/>
        <v>16458.04572864898</v>
      </c>
      <c r="M191" s="238">
        <f t="shared" si="241"/>
        <v>16458.04572864898</v>
      </c>
      <c r="N191" s="238">
        <f t="shared" si="241"/>
        <v>16458.04572864898</v>
      </c>
      <c r="O191" s="238">
        <f t="shared" si="241"/>
        <v>16458.04572864898</v>
      </c>
      <c r="P191" s="238">
        <f t="shared" si="241"/>
        <v>16458.04572864898</v>
      </c>
      <c r="Q191" s="238">
        <f t="shared" si="241"/>
        <v>16458.04572864898</v>
      </c>
      <c r="R191" s="238">
        <f t="shared" si="241"/>
        <v>8777.6243886127868</v>
      </c>
      <c r="S191" s="238">
        <f t="shared" si="241"/>
        <v>4449.4436347707369</v>
      </c>
    </row>
    <row r="192" spans="2:19" x14ac:dyDescent="0.25">
      <c r="B192" s="169" t="s">
        <v>222</v>
      </c>
      <c r="C192" s="179" t="s">
        <v>71</v>
      </c>
      <c r="D192" s="183">
        <f t="shared" si="238"/>
        <v>13880.999999999996</v>
      </c>
      <c r="E192" s="183"/>
      <c r="F192" s="238">
        <f t="shared" ref="F192:S192" si="242">F33</f>
        <v>930.08634546139297</v>
      </c>
      <c r="G192" s="238">
        <f t="shared" si="242"/>
        <v>967.28979927984869</v>
      </c>
      <c r="H192" s="238">
        <f t="shared" si="242"/>
        <v>1041.6967069167601</v>
      </c>
      <c r="I192" s="238">
        <f t="shared" si="242"/>
        <v>1116.1036145536716</v>
      </c>
      <c r="J192" s="238">
        <f t="shared" si="242"/>
        <v>1116.1036145536716</v>
      </c>
      <c r="K192" s="238">
        <f t="shared" si="242"/>
        <v>1116.1036145536716</v>
      </c>
      <c r="L192" s="238">
        <f t="shared" si="242"/>
        <v>1116.1036145536716</v>
      </c>
      <c r="M192" s="238">
        <f t="shared" si="242"/>
        <v>1116.1036145536716</v>
      </c>
      <c r="N192" s="238">
        <f t="shared" si="242"/>
        <v>1116.1036145536716</v>
      </c>
      <c r="O192" s="238">
        <f t="shared" si="242"/>
        <v>1116.1036145536716</v>
      </c>
      <c r="P192" s="238">
        <f t="shared" si="242"/>
        <v>1116.1036145536716</v>
      </c>
      <c r="Q192" s="238">
        <f t="shared" si="242"/>
        <v>1116.1036145536716</v>
      </c>
      <c r="R192" s="238">
        <f t="shared" si="242"/>
        <v>595.25526109529142</v>
      </c>
      <c r="S192" s="238">
        <f t="shared" si="242"/>
        <v>301.73935626366148</v>
      </c>
    </row>
    <row r="193" spans="2:19" x14ac:dyDescent="0.25">
      <c r="B193" s="169" t="s">
        <v>224</v>
      </c>
      <c r="C193" s="240" t="s">
        <v>71</v>
      </c>
      <c r="D193" s="183">
        <f t="shared" si="238"/>
        <v>1574695.9999999998</v>
      </c>
      <c r="E193" s="183"/>
      <c r="F193" s="238">
        <f t="shared" ref="F193:S193" si="243">F34</f>
        <v>105511.36430031509</v>
      </c>
      <c r="G193" s="238">
        <f t="shared" si="243"/>
        <v>109731.8188723277</v>
      </c>
      <c r="H193" s="238">
        <f t="shared" si="243"/>
        <v>118172.72801635291</v>
      </c>
      <c r="I193" s="238">
        <f t="shared" si="243"/>
        <v>126613.63716037812</v>
      </c>
      <c r="J193" s="238">
        <f t="shared" si="243"/>
        <v>126613.63716037812</v>
      </c>
      <c r="K193" s="238">
        <f t="shared" si="243"/>
        <v>126613.63716037812</v>
      </c>
      <c r="L193" s="238">
        <f t="shared" si="243"/>
        <v>126613.63716037812</v>
      </c>
      <c r="M193" s="238">
        <f t="shared" si="243"/>
        <v>126613.63716037812</v>
      </c>
      <c r="N193" s="238">
        <f t="shared" si="243"/>
        <v>126613.63716037812</v>
      </c>
      <c r="O193" s="238">
        <f t="shared" si="243"/>
        <v>126613.63716037812</v>
      </c>
      <c r="P193" s="238">
        <f t="shared" si="243"/>
        <v>126613.63716037812</v>
      </c>
      <c r="Q193" s="238">
        <f t="shared" si="243"/>
        <v>126613.63716037812</v>
      </c>
      <c r="R193" s="238">
        <f t="shared" si="243"/>
        <v>67527.273152201655</v>
      </c>
      <c r="S193" s="238">
        <f t="shared" si="243"/>
        <v>34230.081215399659</v>
      </c>
    </row>
    <row r="194" spans="2:19" x14ac:dyDescent="0.25">
      <c r="B194" s="239" t="s">
        <v>299</v>
      </c>
      <c r="C194" s="237"/>
      <c r="D194" s="241"/>
      <c r="E194" s="241"/>
      <c r="F194" s="241"/>
      <c r="G194" s="241"/>
      <c r="H194" s="241"/>
      <c r="I194" s="241"/>
      <c r="J194" s="241"/>
      <c r="K194" s="241"/>
      <c r="L194" s="241"/>
      <c r="M194" s="241"/>
      <c r="N194" s="241"/>
      <c r="O194" s="241"/>
      <c r="P194" s="241"/>
      <c r="Q194" s="241"/>
      <c r="R194" s="241"/>
      <c r="S194" s="241"/>
    </row>
    <row r="195" spans="2:19" x14ac:dyDescent="0.25">
      <c r="B195" s="169" t="s">
        <v>219</v>
      </c>
      <c r="C195" s="237" t="s">
        <v>2</v>
      </c>
      <c r="D195" s="242">
        <f>'И. Д.'!F127</f>
        <v>8.5500000000000007E-2</v>
      </c>
      <c r="E195" s="242"/>
      <c r="F195" s="242">
        <f>D195</f>
        <v>8.5500000000000007E-2</v>
      </c>
      <c r="G195" s="242">
        <f>D195</f>
        <v>8.5500000000000007E-2</v>
      </c>
      <c r="H195" s="242">
        <f>G195</f>
        <v>8.5500000000000007E-2</v>
      </c>
      <c r="I195" s="242">
        <f t="shared" ref="I195:S199" si="244">H195</f>
        <v>8.5500000000000007E-2</v>
      </c>
      <c r="J195" s="242">
        <f t="shared" si="244"/>
        <v>8.5500000000000007E-2</v>
      </c>
      <c r="K195" s="242">
        <f t="shared" si="244"/>
        <v>8.5500000000000007E-2</v>
      </c>
      <c r="L195" s="242">
        <f t="shared" si="244"/>
        <v>8.5500000000000007E-2</v>
      </c>
      <c r="M195" s="242">
        <f t="shared" si="244"/>
        <v>8.5500000000000007E-2</v>
      </c>
      <c r="N195" s="242">
        <f t="shared" si="244"/>
        <v>8.5500000000000007E-2</v>
      </c>
      <c r="O195" s="242">
        <f t="shared" si="244"/>
        <v>8.5500000000000007E-2</v>
      </c>
      <c r="P195" s="242">
        <f t="shared" si="244"/>
        <v>8.5500000000000007E-2</v>
      </c>
      <c r="Q195" s="242">
        <f t="shared" si="244"/>
        <v>8.5500000000000007E-2</v>
      </c>
      <c r="R195" s="242">
        <f t="shared" si="244"/>
        <v>8.5500000000000007E-2</v>
      </c>
      <c r="S195" s="242">
        <f t="shared" si="244"/>
        <v>8.5500000000000007E-2</v>
      </c>
    </row>
    <row r="196" spans="2:19" x14ac:dyDescent="0.25">
      <c r="B196" s="169" t="s">
        <v>220</v>
      </c>
      <c r="C196" s="237" t="s">
        <v>2</v>
      </c>
      <c r="D196" s="242">
        <f>'И. Д.'!F128</f>
        <v>0.105</v>
      </c>
      <c r="E196" s="242"/>
      <c r="F196" s="242">
        <f t="shared" ref="F196:F199" si="245">D196</f>
        <v>0.105</v>
      </c>
      <c r="G196" s="242">
        <f>D196</f>
        <v>0.105</v>
      </c>
      <c r="H196" s="242">
        <f>G196</f>
        <v>0.105</v>
      </c>
      <c r="I196" s="242">
        <f t="shared" si="244"/>
        <v>0.105</v>
      </c>
      <c r="J196" s="242">
        <f t="shared" si="244"/>
        <v>0.105</v>
      </c>
      <c r="K196" s="242">
        <f t="shared" si="244"/>
        <v>0.105</v>
      </c>
      <c r="L196" s="242">
        <f t="shared" si="244"/>
        <v>0.105</v>
      </c>
      <c r="M196" s="242">
        <f t="shared" si="244"/>
        <v>0.105</v>
      </c>
      <c r="N196" s="242">
        <f t="shared" si="244"/>
        <v>0.105</v>
      </c>
      <c r="O196" s="242">
        <f t="shared" si="244"/>
        <v>0.105</v>
      </c>
      <c r="P196" s="242">
        <f t="shared" si="244"/>
        <v>0.105</v>
      </c>
      <c r="Q196" s="242">
        <f t="shared" si="244"/>
        <v>0.105</v>
      </c>
      <c r="R196" s="242">
        <f t="shared" si="244"/>
        <v>0.105</v>
      </c>
      <c r="S196" s="242">
        <f t="shared" si="244"/>
        <v>0.105</v>
      </c>
    </row>
    <row r="197" spans="2:19" x14ac:dyDescent="0.25">
      <c r="B197" s="171" t="s">
        <v>221</v>
      </c>
      <c r="C197" s="237" t="s">
        <v>2</v>
      </c>
      <c r="D197" s="242">
        <f>'И. Д.'!F129</f>
        <v>0.104</v>
      </c>
      <c r="E197" s="242"/>
      <c r="F197" s="242">
        <f t="shared" si="245"/>
        <v>0.104</v>
      </c>
      <c r="G197" s="242">
        <f>D197</f>
        <v>0.104</v>
      </c>
      <c r="H197" s="242">
        <f t="shared" ref="H197:L199" si="246">G197</f>
        <v>0.104</v>
      </c>
      <c r="I197" s="242">
        <f t="shared" si="246"/>
        <v>0.104</v>
      </c>
      <c r="J197" s="242">
        <f t="shared" si="246"/>
        <v>0.104</v>
      </c>
      <c r="K197" s="242">
        <f t="shared" si="246"/>
        <v>0.104</v>
      </c>
      <c r="L197" s="242">
        <f t="shared" si="246"/>
        <v>0.104</v>
      </c>
      <c r="M197" s="242">
        <f t="shared" si="244"/>
        <v>0.104</v>
      </c>
      <c r="N197" s="242">
        <f t="shared" si="244"/>
        <v>0.104</v>
      </c>
      <c r="O197" s="242">
        <f t="shared" si="244"/>
        <v>0.104</v>
      </c>
      <c r="P197" s="242">
        <f t="shared" si="244"/>
        <v>0.104</v>
      </c>
      <c r="Q197" s="242">
        <f t="shared" si="244"/>
        <v>0.104</v>
      </c>
      <c r="R197" s="242">
        <f t="shared" si="244"/>
        <v>0.104</v>
      </c>
      <c r="S197" s="242">
        <f t="shared" si="244"/>
        <v>0.104</v>
      </c>
    </row>
    <row r="198" spans="2:19" x14ac:dyDescent="0.25">
      <c r="B198" s="169" t="s">
        <v>222</v>
      </c>
      <c r="C198" s="237" t="s">
        <v>2</v>
      </c>
      <c r="D198" s="242">
        <f>'И. Д.'!F125</f>
        <v>7.4999999999999997E-2</v>
      </c>
      <c r="E198" s="242"/>
      <c r="F198" s="242">
        <f t="shared" si="245"/>
        <v>7.4999999999999997E-2</v>
      </c>
      <c r="G198" s="242">
        <f>D198</f>
        <v>7.4999999999999997E-2</v>
      </c>
      <c r="H198" s="242">
        <f t="shared" si="246"/>
        <v>7.4999999999999997E-2</v>
      </c>
      <c r="I198" s="242">
        <f t="shared" si="246"/>
        <v>7.4999999999999997E-2</v>
      </c>
      <c r="J198" s="242">
        <f t="shared" si="246"/>
        <v>7.4999999999999997E-2</v>
      </c>
      <c r="K198" s="242">
        <f t="shared" si="246"/>
        <v>7.4999999999999997E-2</v>
      </c>
      <c r="L198" s="242">
        <f t="shared" si="246"/>
        <v>7.4999999999999997E-2</v>
      </c>
      <c r="M198" s="242">
        <f t="shared" si="244"/>
        <v>7.4999999999999997E-2</v>
      </c>
      <c r="N198" s="242">
        <f t="shared" si="244"/>
        <v>7.4999999999999997E-2</v>
      </c>
      <c r="O198" s="242">
        <f t="shared" si="244"/>
        <v>7.4999999999999997E-2</v>
      </c>
      <c r="P198" s="242">
        <f t="shared" si="244"/>
        <v>7.4999999999999997E-2</v>
      </c>
      <c r="Q198" s="242">
        <f t="shared" si="244"/>
        <v>7.4999999999999997E-2</v>
      </c>
      <c r="R198" s="242">
        <f t="shared" si="244"/>
        <v>7.4999999999999997E-2</v>
      </c>
      <c r="S198" s="242">
        <f t="shared" si="244"/>
        <v>7.4999999999999997E-2</v>
      </c>
    </row>
    <row r="199" spans="2:19" x14ac:dyDescent="0.25">
      <c r="B199" s="169" t="s">
        <v>224</v>
      </c>
      <c r="C199" s="237" t="s">
        <v>2</v>
      </c>
      <c r="D199" s="242">
        <f>'И. Д.'!F126</f>
        <v>7.4999999999999997E-2</v>
      </c>
      <c r="E199" s="242"/>
      <c r="F199" s="242">
        <f t="shared" si="245"/>
        <v>7.4999999999999997E-2</v>
      </c>
      <c r="G199" s="242">
        <f>D199</f>
        <v>7.4999999999999997E-2</v>
      </c>
      <c r="H199" s="242">
        <f t="shared" si="246"/>
        <v>7.4999999999999997E-2</v>
      </c>
      <c r="I199" s="242">
        <f t="shared" si="246"/>
        <v>7.4999999999999997E-2</v>
      </c>
      <c r="J199" s="242">
        <f t="shared" si="246"/>
        <v>7.4999999999999997E-2</v>
      </c>
      <c r="K199" s="242">
        <f t="shared" si="246"/>
        <v>7.4999999999999997E-2</v>
      </c>
      <c r="L199" s="242">
        <f t="shared" si="246"/>
        <v>7.4999999999999997E-2</v>
      </c>
      <c r="M199" s="242">
        <f t="shared" si="244"/>
        <v>7.4999999999999997E-2</v>
      </c>
      <c r="N199" s="242">
        <f t="shared" si="244"/>
        <v>7.4999999999999997E-2</v>
      </c>
      <c r="O199" s="242">
        <f t="shared" si="244"/>
        <v>7.4999999999999997E-2</v>
      </c>
      <c r="P199" s="242">
        <f t="shared" si="244"/>
        <v>7.4999999999999997E-2</v>
      </c>
      <c r="Q199" s="242">
        <f t="shared" si="244"/>
        <v>7.4999999999999997E-2</v>
      </c>
      <c r="R199" s="242">
        <f t="shared" si="244"/>
        <v>7.4999999999999997E-2</v>
      </c>
      <c r="S199" s="242">
        <f t="shared" si="244"/>
        <v>7.4999999999999997E-2</v>
      </c>
    </row>
    <row r="200" spans="2:19" x14ac:dyDescent="0.25">
      <c r="B200" s="666" t="s">
        <v>300</v>
      </c>
      <c r="C200" s="205" t="s">
        <v>271</v>
      </c>
      <c r="D200" s="165">
        <f t="shared" ref="D200" si="247">SUM(F200:S200)</f>
        <v>3882.7970231056802</v>
      </c>
      <c r="E200" s="177"/>
      <c r="F200" s="234">
        <f>'И. Д.'!F123/'Инфл. тенге'!E16</f>
        <v>240.25016796293636</v>
      </c>
      <c r="G200" s="234">
        <f>F200*(1+'цены и инфл'!E29)</f>
        <v>242.17216930663986</v>
      </c>
      <c r="H200" s="234">
        <f>G200*(1+'цены и инфл'!F29)</f>
        <v>249.67950655514568</v>
      </c>
      <c r="I200" s="234">
        <f>H200*(1+'цены и инфл'!G29)</f>
        <v>258.91764829768607</v>
      </c>
      <c r="J200" s="234">
        <f>I200*(1+'цены и инфл'!H29)</f>
        <v>264.09600126363978</v>
      </c>
      <c r="K200" s="234">
        <f>J200*(1+'цены и инфл'!I29)</f>
        <v>269.3779212889126</v>
      </c>
      <c r="L200" s="234">
        <f>K200*(1+'цены и инфл'!J29)</f>
        <v>274.76547971469085</v>
      </c>
      <c r="M200" s="234">
        <f>L200*(1+'цены и инфл'!K29)</f>
        <v>280.26078930898467</v>
      </c>
      <c r="N200" s="234">
        <f>M200*(1+'цены и инфл'!L29)</f>
        <v>285.86600509516438</v>
      </c>
      <c r="O200" s="234">
        <f>N200*(1+'цены и инфл'!M29)</f>
        <v>291.58332519706767</v>
      </c>
      <c r="P200" s="234">
        <f>O200*(1+'цены и инфл'!N29)</f>
        <v>297.414991701009</v>
      </c>
      <c r="Q200" s="234">
        <f>P200*(1+'цены и инфл'!O29)</f>
        <v>303.36329153502919</v>
      </c>
      <c r="R200" s="234">
        <f>Q200*(1+'цены и инфл'!P29)</f>
        <v>309.43055736572978</v>
      </c>
      <c r="S200" s="234">
        <f>R200*(1+'цены и инфл'!Q29)</f>
        <v>315.61916851304437</v>
      </c>
    </row>
    <row r="201" spans="2:19" x14ac:dyDescent="0.25">
      <c r="B201" s="667"/>
      <c r="C201" s="564" t="s">
        <v>3</v>
      </c>
      <c r="D201" s="243">
        <f>AVERAGE(G201:L201)</f>
        <v>0.17934447041237175</v>
      </c>
      <c r="E201" s="243"/>
      <c r="F201" s="236">
        <f t="shared" ref="F201:S201" si="248">F200/F22</f>
        <v>0.19220013437034908</v>
      </c>
      <c r="G201" s="236">
        <f t="shared" si="248"/>
        <v>0.18628628408203066</v>
      </c>
      <c r="H201" s="236">
        <f t="shared" si="248"/>
        <v>0.17834250468224691</v>
      </c>
      <c r="I201" s="236">
        <f t="shared" si="248"/>
        <v>0.17261176553179072</v>
      </c>
      <c r="J201" s="236">
        <f t="shared" si="248"/>
        <v>0.17606400084242652</v>
      </c>
      <c r="K201" s="236">
        <f t="shared" si="248"/>
        <v>0.17958528085927508</v>
      </c>
      <c r="L201" s="236">
        <f t="shared" si="248"/>
        <v>0.18317698647646058</v>
      </c>
      <c r="M201" s="236">
        <f t="shared" si="248"/>
        <v>0.18684052620598979</v>
      </c>
      <c r="N201" s="236">
        <f t="shared" si="248"/>
        <v>0.1905773367301096</v>
      </c>
      <c r="O201" s="236">
        <f t="shared" si="248"/>
        <v>0.19438888346471178</v>
      </c>
      <c r="P201" s="236">
        <f t="shared" si="248"/>
        <v>0.19827666113400599</v>
      </c>
      <c r="Q201" s="236">
        <f t="shared" si="248"/>
        <v>0.20224219435668614</v>
      </c>
      <c r="R201" s="236">
        <f t="shared" si="248"/>
        <v>0.38678819670716225</v>
      </c>
      <c r="S201" s="236">
        <f t="shared" si="248"/>
        <v>0.77829576528519595</v>
      </c>
    </row>
    <row r="202" spans="2:19" ht="13.8" x14ac:dyDescent="0.3">
      <c r="B202" s="565" t="str">
        <f>[2]Макро!A26</f>
        <v>Плата за пользование водными ресурсами</v>
      </c>
      <c r="C202" s="253" t="s">
        <v>271</v>
      </c>
      <c r="D202" s="165">
        <f t="shared" ref="D202:D222" si="249">SUM(F202:S202)</f>
        <v>13.691880973133625</v>
      </c>
      <c r="E202" s="177"/>
      <c r="F202" s="247">
        <f>'И. Д.'!F122/'Инфл. тенге'!E16</f>
        <v>0.84719254803919086</v>
      </c>
      <c r="G202" s="234">
        <f>F202*(1+'цены и инфл'!E29)</f>
        <v>0.85397008842350441</v>
      </c>
      <c r="H202" s="234">
        <f>G202*(1+'цены и инфл'!F29)</f>
        <v>0.88044316116463295</v>
      </c>
      <c r="I202" s="234">
        <f>H202*(1+'цены и инфл'!G29)</f>
        <v>0.91301955812772428</v>
      </c>
      <c r="J202" s="234">
        <f>I202*(1+'цены и инфл'!H29)</f>
        <v>0.9312799492902788</v>
      </c>
      <c r="K202" s="234">
        <f>J202*(1+'цены и инфл'!I29)</f>
        <v>0.94990554827608442</v>
      </c>
      <c r="L202" s="234">
        <f>K202*(1+'цены и инфл'!J29)</f>
        <v>0.96890365924160615</v>
      </c>
      <c r="M202" s="234">
        <f>L202*(1+'цены и инфл'!K29)</f>
        <v>0.98828173242643824</v>
      </c>
      <c r="N202" s="234">
        <f>M202*(1+'цены и инфл'!L29)</f>
        <v>1.008047367074967</v>
      </c>
      <c r="O202" s="234">
        <f>N202*(1+'цены и инфл'!M29)</f>
        <v>1.0282083144164664</v>
      </c>
      <c r="P202" s="234">
        <f>O202*(1+'цены и инфл'!N29)</f>
        <v>1.0487724807047958</v>
      </c>
      <c r="Q202" s="234">
        <f>P202*(1+'цены и инфл'!O29)</f>
        <v>1.0697479303188917</v>
      </c>
      <c r="R202" s="234">
        <f>Q202*(1+'цены и инфл'!P29)</f>
        <v>1.0911428889252694</v>
      </c>
      <c r="S202" s="234">
        <f>R202*(1+'цены и инфл'!Q29)</f>
        <v>1.1129657467037748</v>
      </c>
    </row>
    <row r="203" spans="2:19" ht="13.8" x14ac:dyDescent="0.25">
      <c r="B203" s="566" t="s">
        <v>80</v>
      </c>
      <c r="C203" s="205" t="s">
        <v>271</v>
      </c>
      <c r="D203" s="165">
        <f t="shared" si="249"/>
        <v>305.70475115322029</v>
      </c>
      <c r="E203" s="177"/>
      <c r="F203" s="234">
        <f>'И. Д.'!F116/'Инфл. тенге'!E16</f>
        <v>18.915646987099752</v>
      </c>
      <c r="G203" s="234">
        <f>F203*(1+'цены и инфл'!E29)</f>
        <v>19.066972162996549</v>
      </c>
      <c r="H203" s="234">
        <f>G203*(1+'цены и инфл'!F29)</f>
        <v>19.65804830004944</v>
      </c>
      <c r="I203" s="234">
        <f>H203*(1+'цены и инфл'!G29)</f>
        <v>20.385396087151268</v>
      </c>
      <c r="J203" s="234">
        <f>I203*(1+'цены и инфл'!H29)</f>
        <v>20.793104008894293</v>
      </c>
      <c r="K203" s="234">
        <f>J203*(1+'цены и инфл'!I29)</f>
        <v>21.208966089072177</v>
      </c>
      <c r="L203" s="234">
        <f>K203*(1+'цены и инфл'!J29)</f>
        <v>21.633145410853622</v>
      </c>
      <c r="M203" s="234">
        <f>L203*(1+'цены и инфл'!K29)</f>
        <v>22.065808319070694</v>
      </c>
      <c r="N203" s="234">
        <f>M203*(1+'цены и инфл'!L29)</f>
        <v>22.50712448545211</v>
      </c>
      <c r="O203" s="234">
        <f>N203*(1+'цены и инфл'!M29)</f>
        <v>22.957266975161151</v>
      </c>
      <c r="P203" s="234">
        <f>O203*(1+'цены и инфл'!N29)</f>
        <v>23.416412314664374</v>
      </c>
      <c r="Q203" s="234">
        <f>P203*(1+'цены и инфл'!O29)</f>
        <v>23.884740560957663</v>
      </c>
      <c r="R203" s="234">
        <f>Q203*(1+'цены и инфл'!P29)</f>
        <v>24.362435372176815</v>
      </c>
      <c r="S203" s="234">
        <f>R203*(1+'цены и инфл'!Q29)</f>
        <v>24.849684079620353</v>
      </c>
    </row>
    <row r="204" spans="2:19" ht="13.8" x14ac:dyDescent="0.25">
      <c r="B204" s="567" t="s">
        <v>163</v>
      </c>
      <c r="C204" s="205" t="s">
        <v>271</v>
      </c>
      <c r="D204" s="165">
        <f t="shared" si="249"/>
        <v>155.92459070927484</v>
      </c>
      <c r="E204" s="177"/>
      <c r="F204" s="234">
        <f>'И. Д.'!F121/'Инфл. тенге'!E16</f>
        <v>9.647918468190241</v>
      </c>
      <c r="G204" s="234">
        <f>F204*(1+'цены и инфл'!E29)</f>
        <v>9.7251018159357638</v>
      </c>
      <c r="H204" s="234">
        <f>G204*(1+'цены и инфл'!F29)</f>
        <v>10.026579972229772</v>
      </c>
      <c r="I204" s="234">
        <f>H204*(1+'цены и инфл'!G29)</f>
        <v>10.397563431202274</v>
      </c>
      <c r="J204" s="234">
        <f>I204*(1+'цены и инфл'!H29)</f>
        <v>10.605514699826319</v>
      </c>
      <c r="K204" s="234">
        <f>J204*(1+'цены и инфл'!I29)</f>
        <v>10.817624993822845</v>
      </c>
      <c r="L204" s="234">
        <f>K204*(1+'цены и инфл'!J29)</f>
        <v>11.033977493699302</v>
      </c>
      <c r="M204" s="234">
        <f>L204*(1+'цены и инфл'!K29)</f>
        <v>11.254657043573289</v>
      </c>
      <c r="N204" s="234">
        <f>M204*(1+'цены и инфл'!L29)</f>
        <v>11.479750184444756</v>
      </c>
      <c r="O204" s="234">
        <f>N204*(1+'цены и инфл'!M29)</f>
        <v>11.709345188133652</v>
      </c>
      <c r="P204" s="234">
        <f>O204*(1+'цены и инфл'!N29)</f>
        <v>11.943532091896325</v>
      </c>
      <c r="Q204" s="234">
        <f>P204*(1+'цены и инфл'!O29)</f>
        <v>12.182402733734252</v>
      </c>
      <c r="R204" s="234">
        <f>Q204*(1+'цены и инфл'!P29)</f>
        <v>12.426050788408936</v>
      </c>
      <c r="S204" s="234">
        <f>R204*(1+'цены и инфл'!Q29)</f>
        <v>12.674571804177114</v>
      </c>
    </row>
    <row r="205" spans="2:19" ht="13.8" x14ac:dyDescent="0.25">
      <c r="B205" s="567" t="s">
        <v>84</v>
      </c>
      <c r="C205" s="205" t="s">
        <v>271</v>
      </c>
      <c r="D205" s="165">
        <f t="shared" si="249"/>
        <v>14.636624466976242</v>
      </c>
      <c r="E205" s="177"/>
      <c r="F205" s="234">
        <f>'И. Д.'!F120/'Инфл. тенге'!E16</f>
        <v>0.90564906320774141</v>
      </c>
      <c r="G205" s="234">
        <f>F205*(1+'цены и инфл'!E29)</f>
        <v>0.91289425571340332</v>
      </c>
      <c r="H205" s="234">
        <f>G205*(1+'цены и инфл'!F29)</f>
        <v>0.94119397764051871</v>
      </c>
      <c r="I205" s="234">
        <f>H205*(1+'цены и инфл'!G29)</f>
        <v>0.97601815481321785</v>
      </c>
      <c r="J205" s="234">
        <f>I205*(1+'цены и инфл'!H29)</f>
        <v>0.99553851790948222</v>
      </c>
      <c r="K205" s="234">
        <f>J205*(1+'цены и инфл'!I29)</f>
        <v>1.0154492882676718</v>
      </c>
      <c r="L205" s="234">
        <f>K205*(1+'цены и инфл'!J29)</f>
        <v>1.0357582740330253</v>
      </c>
      <c r="M205" s="234">
        <f>L205*(1+'цены и инфл'!K29)</f>
        <v>1.0564734395136859</v>
      </c>
      <c r="N205" s="234">
        <f>M205*(1+'цены и инфл'!L29)</f>
        <v>1.0776029083039596</v>
      </c>
      <c r="O205" s="234">
        <f>N205*(1+'цены и инфл'!M29)</f>
        <v>1.0991549664700389</v>
      </c>
      <c r="P205" s="234">
        <f>O205*(1+'цены и инфл'!N29)</f>
        <v>1.1211380657994396</v>
      </c>
      <c r="Q205" s="234">
        <f>P205*(1+'цены и инфл'!O29)</f>
        <v>1.1435608271154285</v>
      </c>
      <c r="R205" s="234">
        <f>Q205*(1+'цены и инфл'!P29)</f>
        <v>1.1664320436577371</v>
      </c>
      <c r="S205" s="234">
        <f>R205*(1+'цены и инфл'!Q29)</f>
        <v>1.1897606845308919</v>
      </c>
    </row>
    <row r="206" spans="2:19" x14ac:dyDescent="0.25">
      <c r="B206" s="668" t="s">
        <v>301</v>
      </c>
      <c r="C206" s="205" t="s">
        <v>271</v>
      </c>
      <c r="D206" s="165">
        <f t="shared" si="249"/>
        <v>12578.915363229229</v>
      </c>
      <c r="E206" s="177"/>
      <c r="F206" s="234">
        <f>F208+F209+F210</f>
        <v>1618.1539825428572</v>
      </c>
      <c r="G206" s="234">
        <f>G208+G209+G210</f>
        <v>1457.6065011157268</v>
      </c>
      <c r="H206" s="234">
        <f t="shared" ref="H206:S206" si="250">H208+H209+H210</f>
        <v>1313.3960906448219</v>
      </c>
      <c r="I206" s="234">
        <f t="shared" si="250"/>
        <v>1183.7279830958003</v>
      </c>
      <c r="J206" s="234">
        <f t="shared" si="250"/>
        <v>1066.8734449948627</v>
      </c>
      <c r="K206" s="234">
        <f t="shared" si="250"/>
        <v>961.73472590819154</v>
      </c>
      <c r="L206" s="234">
        <f t="shared" si="250"/>
        <v>867.14085123844359</v>
      </c>
      <c r="M206" s="234">
        <f t="shared" si="250"/>
        <v>782.03795599409182</v>
      </c>
      <c r="N206" s="234">
        <f t="shared" si="250"/>
        <v>705.47757407176539</v>
      </c>
      <c r="O206" s="234">
        <f t="shared" si="250"/>
        <v>636.60609861521289</v>
      </c>
      <c r="P206" s="234">
        <f t="shared" si="250"/>
        <v>574.65529634332825</v>
      </c>
      <c r="Q206" s="234">
        <f t="shared" si="250"/>
        <v>518.93377045042496</v>
      </c>
      <c r="R206" s="234">
        <f t="shared" si="250"/>
        <v>468.81927722164073</v>
      </c>
      <c r="S206" s="234">
        <f t="shared" si="250"/>
        <v>423.75181099205986</v>
      </c>
    </row>
    <row r="207" spans="2:19" x14ac:dyDescent="0.25">
      <c r="B207" s="669"/>
      <c r="C207" s="564" t="s">
        <v>3</v>
      </c>
      <c r="D207" s="172">
        <f>AVERAGE(F207:S207)</f>
        <v>0.70354703922045159</v>
      </c>
      <c r="E207" s="243"/>
      <c r="F207" s="236">
        <f t="shared" ref="F207:S207" si="251">F206/F22</f>
        <v>1.2945231860342858</v>
      </c>
      <c r="G207" s="236">
        <f t="shared" si="251"/>
        <v>1.1212357700890205</v>
      </c>
      <c r="H207" s="236">
        <f t="shared" si="251"/>
        <v>0.93814006474630141</v>
      </c>
      <c r="I207" s="236">
        <f t="shared" si="251"/>
        <v>0.78915198873053349</v>
      </c>
      <c r="J207" s="236">
        <f t="shared" si="251"/>
        <v>0.71124896332990839</v>
      </c>
      <c r="K207" s="236">
        <f t="shared" si="251"/>
        <v>0.64115648393879432</v>
      </c>
      <c r="L207" s="236">
        <f t="shared" si="251"/>
        <v>0.57809390082562906</v>
      </c>
      <c r="M207" s="236">
        <f t="shared" si="251"/>
        <v>0.52135863732939458</v>
      </c>
      <c r="N207" s="236">
        <f t="shared" si="251"/>
        <v>0.47031838271451026</v>
      </c>
      <c r="O207" s="236">
        <f t="shared" si="251"/>
        <v>0.42440406574347528</v>
      </c>
      <c r="P207" s="236">
        <f t="shared" si="251"/>
        <v>0.38310353089555216</v>
      </c>
      <c r="Q207" s="236">
        <f t="shared" si="251"/>
        <v>0.34595584696694998</v>
      </c>
      <c r="R207" s="236">
        <f t="shared" si="251"/>
        <v>0.5860240965270509</v>
      </c>
      <c r="S207" s="236">
        <f t="shared" si="251"/>
        <v>1.0449436312149156</v>
      </c>
    </row>
    <row r="208" spans="2:19" x14ac:dyDescent="0.25">
      <c r="B208" s="248" t="s">
        <v>302</v>
      </c>
      <c r="C208" s="237" t="s">
        <v>271</v>
      </c>
      <c r="D208" s="183">
        <f t="shared" si="249"/>
        <v>184.00403032145698</v>
      </c>
      <c r="E208" s="167"/>
      <c r="F208" s="241">
        <f>'И. Д.'!F118/'Инфл. тенге'!E16</f>
        <v>11.385348996489141</v>
      </c>
      <c r="G208" s="241">
        <f>F208*(1+'цены и инфл'!E29)</f>
        <v>11.476431788461054</v>
      </c>
      <c r="H208" s="241">
        <f>G208*(1+'цены и инфл'!F29)</f>
        <v>11.832201173903346</v>
      </c>
      <c r="I208" s="241">
        <f>H208*(1+'цены и инфл'!G29)</f>
        <v>12.269992617337769</v>
      </c>
      <c r="J208" s="241">
        <f>I208*(1+'цены и инфл'!H29)</f>
        <v>12.515392469684524</v>
      </c>
      <c r="K208" s="241">
        <f>J208*(1+'цены и инфл'!I29)</f>
        <v>12.765700319078215</v>
      </c>
      <c r="L208" s="241">
        <f>K208*(1+'цены и инфл'!J29)</f>
        <v>13.021014325459779</v>
      </c>
      <c r="M208" s="241">
        <f>L208*(1+'цены и инфл'!K29)</f>
        <v>13.281434611968976</v>
      </c>
      <c r="N208" s="241">
        <f>M208*(1+'цены и инфл'!L29)</f>
        <v>13.547063304208356</v>
      </c>
      <c r="O208" s="241">
        <f>N208*(1+'цены и инфл'!M29)</f>
        <v>13.818004570292523</v>
      </c>
      <c r="P208" s="241">
        <f>O208*(1+'цены и инфл'!N29)</f>
        <v>14.094364661698373</v>
      </c>
      <c r="Q208" s="241">
        <f>P208*(1+'цены и инфл'!O29)</f>
        <v>14.376251954932341</v>
      </c>
      <c r="R208" s="241">
        <f>Q208*(1+'цены и инфл'!P29)</f>
        <v>14.663776994030988</v>
      </c>
      <c r="S208" s="241">
        <f>R208*(1+'цены и инфл'!Q29)</f>
        <v>14.957052533911607</v>
      </c>
    </row>
    <row r="209" spans="1:19" x14ac:dyDescent="0.25">
      <c r="B209" s="248" t="s">
        <v>303</v>
      </c>
      <c r="C209" s="237" t="s">
        <v>271</v>
      </c>
      <c r="D209" s="183">
        <f t="shared" si="249"/>
        <v>12389.18012446463</v>
      </c>
      <c r="E209" s="167"/>
      <c r="F209" s="241">
        <f>'Аморт ОС'!E59</f>
        <v>1606.4140119210549</v>
      </c>
      <c r="G209" s="241">
        <f>'Аморт ОС'!F59</f>
        <v>1445.77261072895</v>
      </c>
      <c r="H209" s="241">
        <f>'Аморт ОС'!G59</f>
        <v>1301.195349656055</v>
      </c>
      <c r="I209" s="241">
        <f>'Аморт ОС'!H59</f>
        <v>1171.0758146904489</v>
      </c>
      <c r="J209" s="241">
        <f>'Аморт ОС'!I59</f>
        <v>1053.9682332214043</v>
      </c>
      <c r="K209" s="241">
        <f>'Аморт ОС'!J59</f>
        <v>948.57140989926404</v>
      </c>
      <c r="L209" s="241">
        <f>'Аморт ОС'!K59</f>
        <v>853.71426890933753</v>
      </c>
      <c r="M209" s="241">
        <f>'Аморт ОС'!L59</f>
        <v>768.34284201840364</v>
      </c>
      <c r="N209" s="241">
        <f>'Аморт ОС'!M59</f>
        <v>691.50855781656344</v>
      </c>
      <c r="O209" s="241">
        <f>'Аморт ОС'!N59</f>
        <v>622.35770203490688</v>
      </c>
      <c r="P209" s="241">
        <f>'Аморт ОС'!O59</f>
        <v>560.12193183141608</v>
      </c>
      <c r="Q209" s="241">
        <f>'Аморт ОС'!P59</f>
        <v>504.10973864827457</v>
      </c>
      <c r="R209" s="241">
        <f>'Аморт ОС'!Q59</f>
        <v>453.69876478344736</v>
      </c>
      <c r="S209" s="241">
        <f>'Аморт ОС'!R59</f>
        <v>408.32888830510257</v>
      </c>
    </row>
    <row r="210" spans="1:19" x14ac:dyDescent="0.25">
      <c r="B210" s="244" t="s">
        <v>304</v>
      </c>
      <c r="C210" s="237" t="s">
        <v>271</v>
      </c>
      <c r="D210" s="183">
        <f t="shared" si="249"/>
        <v>5.7312084431420436</v>
      </c>
      <c r="E210" s="180"/>
      <c r="F210" s="249">
        <f>'И. Д.'!F117/'Инфл. тенге'!E16</f>
        <v>0.3546216253133247</v>
      </c>
      <c r="G210" s="241">
        <f>F210*(1+'цены и инфл'!E29)</f>
        <v>0.35745859831583132</v>
      </c>
      <c r="H210" s="241">
        <f>G210*(1+'цены и инфл'!F29)</f>
        <v>0.36853981486362208</v>
      </c>
      <c r="I210" s="241">
        <f>H210*(1+'цены и инфл'!G29)</f>
        <v>0.38217578801357605</v>
      </c>
      <c r="J210" s="241">
        <f>I210*(1+'цены и инфл'!H29)</f>
        <v>0.38981930377384755</v>
      </c>
      <c r="K210" s="241">
        <f>J210*(1+'цены и инфл'!I29)</f>
        <v>0.39761568984932449</v>
      </c>
      <c r="L210" s="241">
        <f>K210*(1+'цены и инфл'!J29)</f>
        <v>0.40556800364631101</v>
      </c>
      <c r="M210" s="241">
        <f>L210*(1+'цены и инфл'!K29)</f>
        <v>0.41367936371923725</v>
      </c>
      <c r="N210" s="241">
        <f>M210*(1+'цены и инфл'!L29)</f>
        <v>0.42195295099362201</v>
      </c>
      <c r="O210" s="241">
        <f>N210*(1+'цены и инфл'!M29)</f>
        <v>0.43039201001349447</v>
      </c>
      <c r="P210" s="241">
        <f>O210*(1+'цены и инфл'!N29)</f>
        <v>0.43899985021376436</v>
      </c>
      <c r="Q210" s="241">
        <f>P210*(1+'цены и инфл'!O29)</f>
        <v>0.44777984721803965</v>
      </c>
      <c r="R210" s="241">
        <f>Q210*(1+'цены и инфл'!P29)</f>
        <v>0.45673544416240047</v>
      </c>
      <c r="S210" s="241">
        <f>R210*(1+'цены и инфл'!Q29)</f>
        <v>0.46587015304564849</v>
      </c>
    </row>
    <row r="211" spans="1:19" x14ac:dyDescent="0.25">
      <c r="B211" s="653" t="s">
        <v>305</v>
      </c>
      <c r="C211" s="563" t="s">
        <v>271</v>
      </c>
      <c r="D211" s="165">
        <f t="shared" si="249"/>
        <v>49320.116143987419</v>
      </c>
      <c r="E211" s="177"/>
      <c r="F211" s="234">
        <f>F213+F215+F216+F217</f>
        <v>3104.010958564777</v>
      </c>
      <c r="G211" s="234">
        <f>G213+G215+G216+G217</f>
        <v>3304.522184396094</v>
      </c>
      <c r="H211" s="234">
        <f t="shared" ref="H211:S211" si="252">H213+H215+H216+H217</f>
        <v>3546.2682583968226</v>
      </c>
      <c r="I211" s="234">
        <f t="shared" si="252"/>
        <v>3680.0784792262784</v>
      </c>
      <c r="J211" s="234">
        <f t="shared" si="252"/>
        <v>3750.8430291176173</v>
      </c>
      <c r="K211" s="234">
        <f t="shared" si="252"/>
        <v>3823.6959036950357</v>
      </c>
      <c r="L211" s="234">
        <f t="shared" si="252"/>
        <v>3898.0649241623364</v>
      </c>
      <c r="M211" s="234">
        <f t="shared" si="252"/>
        <v>3973.9792548412752</v>
      </c>
      <c r="N211" s="234">
        <f t="shared" si="252"/>
        <v>4051.4686660576076</v>
      </c>
      <c r="O211" s="234">
        <f t="shared" si="252"/>
        <v>4130.5635458157331</v>
      </c>
      <c r="P211" s="234">
        <f t="shared" si="252"/>
        <v>4211.2949117155558</v>
      </c>
      <c r="Q211" s="234">
        <f t="shared" si="252"/>
        <v>4292.8449008060034</v>
      </c>
      <c r="R211" s="234">
        <f t="shared" si="252"/>
        <v>2364.2122241290485</v>
      </c>
      <c r="S211" s="234">
        <f t="shared" si="252"/>
        <v>1188.26890306323</v>
      </c>
    </row>
    <row r="212" spans="1:19" x14ac:dyDescent="0.25">
      <c r="B212" s="654"/>
      <c r="C212" s="564" t="s">
        <v>3</v>
      </c>
      <c r="D212" s="236">
        <f>D211/D22</f>
        <v>2.6437269120145643</v>
      </c>
      <c r="E212" s="236"/>
      <c r="F212" s="236">
        <f t="shared" ref="F212:S212" si="253">F211/F22</f>
        <v>2.4832087668518215</v>
      </c>
      <c r="G212" s="236">
        <f t="shared" si="253"/>
        <v>2.5419401418431491</v>
      </c>
      <c r="H212" s="236">
        <f t="shared" si="253"/>
        <v>2.5330487559977306</v>
      </c>
      <c r="I212" s="236">
        <f t="shared" si="253"/>
        <v>2.4533856528175191</v>
      </c>
      <c r="J212" s="236">
        <f t="shared" si="253"/>
        <v>2.5005620194117451</v>
      </c>
      <c r="K212" s="236">
        <f t="shared" si="253"/>
        <v>2.5491306024633573</v>
      </c>
      <c r="L212" s="236">
        <f t="shared" si="253"/>
        <v>2.5987099494415578</v>
      </c>
      <c r="M212" s="236">
        <f t="shared" si="253"/>
        <v>2.6493195032275167</v>
      </c>
      <c r="N212" s="236">
        <f t="shared" si="253"/>
        <v>2.7009791107050716</v>
      </c>
      <c r="O212" s="236">
        <f t="shared" si="253"/>
        <v>2.7537090305438219</v>
      </c>
      <c r="P212" s="236">
        <f t="shared" si="253"/>
        <v>2.807529941143704</v>
      </c>
      <c r="Q212" s="236">
        <f t="shared" si="253"/>
        <v>2.8618966005373356</v>
      </c>
      <c r="R212" s="236">
        <f t="shared" si="253"/>
        <v>2.9552652801613108</v>
      </c>
      <c r="S212" s="236">
        <f t="shared" si="253"/>
        <v>2.930191659876876</v>
      </c>
    </row>
    <row r="213" spans="1:19" x14ac:dyDescent="0.25">
      <c r="B213" s="168" t="s">
        <v>306</v>
      </c>
      <c r="C213" s="237" t="s">
        <v>271</v>
      </c>
      <c r="D213" s="183">
        <f t="shared" si="249"/>
        <v>1016.9548071646888</v>
      </c>
      <c r="E213" s="167"/>
      <c r="F213" s="212">
        <f>'И. Д.'!$F$115/'Инфл. тенге'!E16</f>
        <v>82.355363393040975</v>
      </c>
      <c r="G213" s="212">
        <f>'И. Д.'!$F$115/G214</f>
        <v>80.740552346118605</v>
      </c>
      <c r="H213" s="212">
        <f>'И. Д.'!$F$115/H214</f>
        <v>79.157404260900591</v>
      </c>
      <c r="I213" s="212">
        <f>'И. Д.'!$F$115/I214</f>
        <v>77.60529829500058</v>
      </c>
      <c r="J213" s="212">
        <f>'И. Д.'!$F$115/J214</f>
        <v>76.083625779412316</v>
      </c>
      <c r="K213" s="212">
        <f>'И. Д.'!$F$115/K214</f>
        <v>74.591789979815999</v>
      </c>
      <c r="L213" s="212">
        <f>'И. Д.'!$F$115/L214</f>
        <v>73.129205862564689</v>
      </c>
      <c r="M213" s="212">
        <f>'И. Д.'!$F$115/M214</f>
        <v>71.6952998652595</v>
      </c>
      <c r="N213" s="212">
        <f>'И. Д.'!$F$115/N214</f>
        <v>70.289509671823041</v>
      </c>
      <c r="O213" s="212">
        <f>'И. Д.'!$F$115/O214</f>
        <v>68.911283991983368</v>
      </c>
      <c r="P213" s="212">
        <f>'И. Д.'!$F$115/P214</f>
        <v>67.560082345081724</v>
      </c>
      <c r="Q213" s="212">
        <f>'И. Д.'!$F$115/Q214</f>
        <v>66.235374848119335</v>
      </c>
      <c r="R213" s="212">
        <f>'И. Д.'!$F$115/R214</f>
        <v>64.936642007960131</v>
      </c>
      <c r="S213" s="212">
        <f>'И. Д.'!$F$115/S214</f>
        <v>63.663374517607977</v>
      </c>
    </row>
    <row r="214" spans="1:19" ht="13.8" x14ac:dyDescent="0.3">
      <c r="B214" s="335" t="s">
        <v>401</v>
      </c>
      <c r="C214" s="336" t="s">
        <v>402</v>
      </c>
      <c r="D214" s="337">
        <f>AVERAGE(F214:S214)</f>
        <v>554.18155435584663</v>
      </c>
      <c r="E214" s="167"/>
      <c r="F214" s="338">
        <f>'Инфл. тенге'!E16</f>
        <v>485.7</v>
      </c>
      <c r="G214" s="338">
        <f>F214*(1+'цены и инфл'!E27)</f>
        <v>495.41399999999999</v>
      </c>
      <c r="H214" s="338">
        <f>G214*(1+'цены и инфл'!F27)</f>
        <v>505.32227999999998</v>
      </c>
      <c r="I214" s="338">
        <f>H214*(1+'цены и инфл'!G27)</f>
        <v>515.42872560000001</v>
      </c>
      <c r="J214" s="338">
        <f>I214*(1+'цены и инфл'!H27)</f>
        <v>525.73730011200007</v>
      </c>
      <c r="K214" s="338">
        <f>J214*(1+'цены и инфл'!I27)</f>
        <v>536.2520461142401</v>
      </c>
      <c r="L214" s="338">
        <f>K214*(1+'цены и инфл'!J27)</f>
        <v>546.97708703652495</v>
      </c>
      <c r="M214" s="338">
        <f>L214*(1+'цены и инфл'!K27)</f>
        <v>557.91662877725548</v>
      </c>
      <c r="N214" s="338">
        <f>M214*(1+'цены и инфл'!L27)</f>
        <v>569.07496135280064</v>
      </c>
      <c r="O214" s="338">
        <f>N214*(1+'цены и инфл'!M27)</f>
        <v>580.45646057985664</v>
      </c>
      <c r="P214" s="338">
        <f>O214*(1+'цены и инфл'!N27)</f>
        <v>592.06558979145382</v>
      </c>
      <c r="Q214" s="338">
        <f>P214*(1+'цены и инфл'!O27)</f>
        <v>603.90690158728296</v>
      </c>
      <c r="R214" s="338">
        <f>Q214*(1+'цены и инфл'!P27)</f>
        <v>615.98503961902861</v>
      </c>
      <c r="S214" s="338">
        <f>R214*(1+'цены и инфл'!Q27)</f>
        <v>628.30474041140917</v>
      </c>
    </row>
    <row r="215" spans="1:19" x14ac:dyDescent="0.25">
      <c r="B215" s="168" t="s">
        <v>307</v>
      </c>
      <c r="C215" s="237" t="s">
        <v>271</v>
      </c>
      <c r="D215" s="183">
        <f t="shared" si="249"/>
        <v>1313.4176236792614</v>
      </c>
      <c r="E215" s="167"/>
      <c r="F215" s="212">
        <f>'И. Д.'!$F$113*'ФЭМ 0.9'!F125</f>
        <v>76.907715864116099</v>
      </c>
      <c r="G215" s="212">
        <f>'И. Д.'!$F$113*'ФЭМ 0.9'!G125</f>
        <v>80.623896694670194</v>
      </c>
      <c r="H215" s="212">
        <f>'И. Д.'!$F$113*'ФЭМ 0.9'!H125</f>
        <v>89.517332683913054</v>
      </c>
      <c r="I215" s="212">
        <f>'И. Д.'!$F$113*'ФЭМ 0.9'!I125</f>
        <v>99.460150707019068</v>
      </c>
      <c r="J215" s="212">
        <f>'И. Д.'!$F$113*'ФЭМ 0.9'!J125</f>
        <v>101.44935372115945</v>
      </c>
      <c r="K215" s="212">
        <f>'И. Д.'!$F$113*'ФЭМ 0.9'!K125</f>
        <v>103.47834079558265</v>
      </c>
      <c r="L215" s="212">
        <f>'И. Д.'!$F$113*'ФЭМ 0.9'!L125</f>
        <v>105.54790761149431</v>
      </c>
      <c r="M215" s="212">
        <f>'И. Д.'!$F$113*'ФЭМ 0.9'!M125</f>
        <v>107.65886576372421</v>
      </c>
      <c r="N215" s="212">
        <f>'И. Д.'!$F$113*'ФЭМ 0.9'!N125</f>
        <v>109.81204307899867</v>
      </c>
      <c r="O215" s="212">
        <f>'И. Д.'!$F$113*'ФЭМ 0.9'!O125</f>
        <v>112.00828394057865</v>
      </c>
      <c r="P215" s="212">
        <f>'И. Д.'!$F$113*'ФЭМ 0.9'!P125</f>
        <v>114.24844961939023</v>
      </c>
      <c r="Q215" s="212">
        <f>'И. Д.'!$F$113*'ФЭМ 0.9'!Q125</f>
        <v>116.53341861177803</v>
      </c>
      <c r="R215" s="212">
        <f>'И. Д.'!$F$113*'ФЭМ 0.9'!R125</f>
        <v>63.394179724807259</v>
      </c>
      <c r="S215" s="212">
        <f>'И. Д.'!$F$113*'ФЭМ 0.9'!S125</f>
        <v>32.777684862029787</v>
      </c>
    </row>
    <row r="216" spans="1:19" x14ac:dyDescent="0.25">
      <c r="B216" s="168" t="s">
        <v>308</v>
      </c>
      <c r="C216" s="237" t="s">
        <v>271</v>
      </c>
      <c r="D216" s="183">
        <f t="shared" si="249"/>
        <v>1313.4176236792614</v>
      </c>
      <c r="E216" s="167"/>
      <c r="F216" s="212">
        <f>'И. Д.'!$F$112*F125</f>
        <v>76.907715864116099</v>
      </c>
      <c r="G216" s="212">
        <f>'И. Д.'!$F$112*G125</f>
        <v>80.623896694670194</v>
      </c>
      <c r="H216" s="212">
        <f>'И. Д.'!$F$112*H125</f>
        <v>89.517332683913054</v>
      </c>
      <c r="I216" s="212">
        <f>'И. Д.'!$F$112*I125</f>
        <v>99.460150707019068</v>
      </c>
      <c r="J216" s="212">
        <f>'И. Д.'!$F$112*J125</f>
        <v>101.44935372115945</v>
      </c>
      <c r="K216" s="212">
        <f>'И. Д.'!$F$112*K125</f>
        <v>103.47834079558265</v>
      </c>
      <c r="L216" s="212">
        <f>'И. Д.'!$F$112*L125</f>
        <v>105.54790761149431</v>
      </c>
      <c r="M216" s="212">
        <f>'И. Д.'!$F$112*M125</f>
        <v>107.65886576372421</v>
      </c>
      <c r="N216" s="212">
        <f>'И. Д.'!$F$112*N125</f>
        <v>109.81204307899867</v>
      </c>
      <c r="O216" s="212">
        <f>'И. Д.'!$F$112*O125</f>
        <v>112.00828394057865</v>
      </c>
      <c r="P216" s="212">
        <f>'И. Д.'!$F$112*P125</f>
        <v>114.24844961939023</v>
      </c>
      <c r="Q216" s="212">
        <f>'И. Д.'!$F$112*Q125</f>
        <v>116.53341861177803</v>
      </c>
      <c r="R216" s="212">
        <f>'И. Д.'!$F$112*R125</f>
        <v>63.394179724807259</v>
      </c>
      <c r="S216" s="212">
        <f>'И. Д.'!$F$112*S125</f>
        <v>32.777684862029787</v>
      </c>
    </row>
    <row r="217" spans="1:19" x14ac:dyDescent="0.25">
      <c r="B217" s="168" t="s">
        <v>309</v>
      </c>
      <c r="C217" s="237" t="s">
        <v>271</v>
      </c>
      <c r="D217" s="183">
        <f t="shared" si="249"/>
        <v>45676.326089464194</v>
      </c>
      <c r="E217" s="167"/>
      <c r="F217" s="212">
        <f>'И. Д.'!$F$114*'ФЭМ 0.9'!F110</f>
        <v>2867.840163443504</v>
      </c>
      <c r="G217" s="212">
        <f>'И. Д.'!$F$114*'ФЭМ 0.9'!G110</f>
        <v>3062.533838660635</v>
      </c>
      <c r="H217" s="212">
        <f>'И. Д.'!$F$114*'ФЭМ 0.9'!H110</f>
        <v>3288.076188768096</v>
      </c>
      <c r="I217" s="212">
        <f>'И. Д.'!$F$114*'ФЭМ 0.9'!I110</f>
        <v>3403.5528795172395</v>
      </c>
      <c r="J217" s="212">
        <f>'И. Д.'!$F$114*'ФЭМ 0.9'!J110</f>
        <v>3471.8606958958862</v>
      </c>
      <c r="K217" s="212">
        <f>'И. Д.'!$F$114*'ФЭМ 0.9'!K110</f>
        <v>3542.1474321240544</v>
      </c>
      <c r="L217" s="212">
        <f>'И. Д.'!$F$114*'ФЭМ 0.9'!L110</f>
        <v>3613.8399030767832</v>
      </c>
      <c r="M217" s="212">
        <f>'И. Д.'!$F$114*'ФЭМ 0.9'!M110</f>
        <v>3686.9662234485672</v>
      </c>
      <c r="N217" s="212">
        <f>'И. Д.'!$F$114*'ФЭМ 0.9'!N110</f>
        <v>3761.5550702277874</v>
      </c>
      <c r="O217" s="212">
        <f>'И. Д.'!$F$114*'ФЭМ 0.9'!O110</f>
        <v>3837.6356939425928</v>
      </c>
      <c r="P217" s="212">
        <f>'И. Д.'!$F$114*'ФЭМ 0.9'!P110</f>
        <v>3915.2379301316937</v>
      </c>
      <c r="Q217" s="212">
        <f>'И. Д.'!$F$114*'ФЭМ 0.9'!Q110</f>
        <v>3993.5426887343278</v>
      </c>
      <c r="R217" s="212">
        <f>'И. Д.'!$F$114*'ФЭМ 0.9'!R110</f>
        <v>2172.4872226714738</v>
      </c>
      <c r="S217" s="212">
        <f>'И. Д.'!$F$114*'ФЭМ 0.9'!S110</f>
        <v>1059.0501588215625</v>
      </c>
    </row>
    <row r="218" spans="1:19" x14ac:dyDescent="0.25">
      <c r="B218" s="568" t="s">
        <v>310</v>
      </c>
      <c r="C218" s="237" t="s">
        <v>271</v>
      </c>
      <c r="D218" s="165">
        <f t="shared" si="249"/>
        <v>189850.01672753796</v>
      </c>
      <c r="E218" s="177"/>
      <c r="F218" s="165">
        <f>F219+F220+F221</f>
        <v>22722.443825498893</v>
      </c>
      <c r="G218" s="165">
        <f t="shared" ref="G218:S218" si="254">G219+G220+G221</f>
        <v>19943.719089290746</v>
      </c>
      <c r="H218" s="165">
        <f t="shared" si="254"/>
        <v>17483.725802149904</v>
      </c>
      <c r="I218" s="165">
        <f t="shared" si="254"/>
        <v>15617.625585440395</v>
      </c>
      <c r="J218" s="165">
        <f t="shared" si="254"/>
        <v>13569.407571309717</v>
      </c>
      <c r="K218" s="165">
        <f t="shared" si="254"/>
        <v>12111.432447906802</v>
      </c>
      <c r="L218" s="165">
        <f t="shared" si="254"/>
        <v>10646.814480390904</v>
      </c>
      <c r="M218" s="165">
        <f t="shared" si="254"/>
        <v>9773.5263747387617</v>
      </c>
      <c r="N218" s="165">
        <f t="shared" si="254"/>
        <v>8878.4487196362679</v>
      </c>
      <c r="O218" s="165">
        <f t="shared" si="254"/>
        <v>8081.7290873275851</v>
      </c>
      <c r="P218" s="165">
        <f t="shared" si="254"/>
        <v>7226.4076086367404</v>
      </c>
      <c r="Q218" s="165">
        <f t="shared" si="254"/>
        <v>6499.9762283149157</v>
      </c>
      <c r="R218" s="165">
        <f t="shared" si="254"/>
        <v>5028.3757299436938</v>
      </c>
      <c r="S218" s="165">
        <f t="shared" si="254"/>
        <v>32266.384176952663</v>
      </c>
    </row>
    <row r="219" spans="1:19" x14ac:dyDescent="0.25">
      <c r="A219" s="250"/>
      <c r="B219" s="569" t="s">
        <v>311</v>
      </c>
      <c r="C219" s="237" t="s">
        <v>271</v>
      </c>
      <c r="D219" s="183">
        <f t="shared" si="249"/>
        <v>156687.54734613191</v>
      </c>
      <c r="E219" s="167"/>
      <c r="F219" s="183">
        <f>'Аморт ОС'!E38</f>
        <v>21386.685796836511</v>
      </c>
      <c r="G219" s="183">
        <f>'Аморт ОС'!F38</f>
        <v>17844.266813533693</v>
      </c>
      <c r="H219" s="183">
        <f>'Аморт ОС'!G38</f>
        <v>15008.581464518153</v>
      </c>
      <c r="I219" s="183">
        <f>'Аморт ОС'!H38</f>
        <v>12718.434736376999</v>
      </c>
      <c r="J219" s="183">
        <f>'Аморт ОС'!I38</f>
        <v>10852.607575228747</v>
      </c>
      <c r="K219" s="183">
        <f>'Аморт ОС'!J38</f>
        <v>9319.3647740505912</v>
      </c>
      <c r="L219" s="183">
        <f>'Аморт ОС'!K38</f>
        <v>8048.8538589058462</v>
      </c>
      <c r="M219" s="183">
        <f>'Аморт ОС'!L38</f>
        <v>6987.5572642544848</v>
      </c>
      <c r="N219" s="183">
        <f>'Аморт ОС'!M38</f>
        <v>6094.2164111463262</v>
      </c>
      <c r="O219" s="183">
        <f>'Аморт ОС'!N38</f>
        <v>5336.8196748896444</v>
      </c>
      <c r="P219" s="183">
        <f>'Аморт ОС'!O38</f>
        <v>4690.3649506128004</v>
      </c>
      <c r="Q219" s="183">
        <f>'Аморт ОС'!P38</f>
        <v>4135.1897941514771</v>
      </c>
      <c r="R219" s="183">
        <f>'Аморт ОС'!Q38</f>
        <v>3655.7197647330349</v>
      </c>
      <c r="S219" s="183">
        <f>'Аморт ОС'!R38</f>
        <v>30608.884466893614</v>
      </c>
    </row>
    <row r="220" spans="1:19" x14ac:dyDescent="0.25">
      <c r="A220" s="250"/>
      <c r="B220" s="569" t="s">
        <v>312</v>
      </c>
      <c r="C220" s="237" t="s">
        <v>271</v>
      </c>
      <c r="D220" s="183">
        <f t="shared" si="249"/>
        <v>22745.199999999997</v>
      </c>
      <c r="E220" s="167"/>
      <c r="F220" s="183">
        <f>'Аморт ГКР'!F12</f>
        <v>1273.0008255998785</v>
      </c>
      <c r="G220" s="183">
        <f>'Аморт ГКР'!G12</f>
        <v>1603.7354416476787</v>
      </c>
      <c r="H220" s="183">
        <f>'Аморт ГКР'!H12</f>
        <v>1727.099706389808</v>
      </c>
      <c r="I220" s="183">
        <f>'Аморт ГКР'!I12</f>
        <v>1850.4639711319371</v>
      </c>
      <c r="J220" s="183">
        <f>'Аморт ГКР'!J12</f>
        <v>1850.4639711319371</v>
      </c>
      <c r="K220" s="183">
        <f>'Аморт ГКР'!K12</f>
        <v>1850.4639711319369</v>
      </c>
      <c r="L220" s="183">
        <f>'Аморт ГКР'!L12</f>
        <v>1850.4639711319371</v>
      </c>
      <c r="M220" s="183">
        <f>'Аморт ГКР'!M12</f>
        <v>1850.4639711319371</v>
      </c>
      <c r="N220" s="183">
        <f>'Аморт ГКР'!N12</f>
        <v>1850.4639711319369</v>
      </c>
      <c r="O220" s="183">
        <f>'Аморт ГКР'!O12</f>
        <v>1850.4639711319369</v>
      </c>
      <c r="P220" s="183">
        <f>'Аморт ГКР'!P12</f>
        <v>1850.4639711319369</v>
      </c>
      <c r="Q220" s="183">
        <f>'Аморт ГКР'!Q12</f>
        <v>1850.4639711319371</v>
      </c>
      <c r="R220" s="183">
        <f>'Аморт ГКР'!R12</f>
        <v>986.91411793703298</v>
      </c>
      <c r="S220" s="183">
        <f>'Аморт ГКР'!S12</f>
        <v>500.27416823816668</v>
      </c>
    </row>
    <row r="221" spans="1:19" x14ac:dyDescent="0.25">
      <c r="A221" s="250"/>
      <c r="B221" s="569" t="s">
        <v>313</v>
      </c>
      <c r="C221" s="237" t="s">
        <v>271</v>
      </c>
      <c r="D221" s="183">
        <f t="shared" si="249"/>
        <v>10417.269381406064</v>
      </c>
      <c r="E221" s="167"/>
      <c r="F221" s="183">
        <f>'Амор на доп обор'!F16</f>
        <v>62.757203062499983</v>
      </c>
      <c r="G221" s="183">
        <f>'Амор на доп обор'!G16</f>
        <v>495.71683410937493</v>
      </c>
      <c r="H221" s="183">
        <f>'Амор на доп обор'!H16</f>
        <v>748.04463124194513</v>
      </c>
      <c r="I221" s="183">
        <f>'Амор на доп обор'!I16</f>
        <v>1048.7268779314588</v>
      </c>
      <c r="J221" s="183">
        <f>'Амор на доп обор'!J16</f>
        <v>866.33602494903255</v>
      </c>
      <c r="K221" s="183">
        <f>'Амор на доп обор'!K16</f>
        <v>941.6037027242744</v>
      </c>
      <c r="L221" s="183">
        <f>'Амор на доп обор'!L16</f>
        <v>747.49665035311966</v>
      </c>
      <c r="M221" s="183">
        <f>'Амор на доп обор'!M16</f>
        <v>935.50513935233971</v>
      </c>
      <c r="N221" s="183">
        <f>'Амор на доп обор'!N16</f>
        <v>933.76833735800483</v>
      </c>
      <c r="O221" s="183">
        <f>'Амор на доп обор'!O16</f>
        <v>894.44544130600366</v>
      </c>
      <c r="P221" s="183">
        <f>'Амор на доп обор'!P16</f>
        <v>685.57868689200268</v>
      </c>
      <c r="Q221" s="183">
        <f>'Амор на доп обор'!Q16</f>
        <v>514.32246303150202</v>
      </c>
      <c r="R221" s="183">
        <f>'Амор на доп обор'!R16</f>
        <v>385.74184727362649</v>
      </c>
      <c r="S221" s="183">
        <f>'Амор на доп обор'!S16</f>
        <v>1157.2255418208795</v>
      </c>
    </row>
    <row r="222" spans="1:19" x14ac:dyDescent="0.25">
      <c r="B222" s="251" t="s">
        <v>314</v>
      </c>
      <c r="C222" s="235" t="s">
        <v>271</v>
      </c>
      <c r="D222" s="165">
        <f t="shared" si="249"/>
        <v>3592908.5847960231</v>
      </c>
      <c r="E222" s="177"/>
      <c r="F222" s="252">
        <f t="shared" ref="F222:S222" si="255">F125+F140+F176+F178+F218</f>
        <v>225845.92855080651</v>
      </c>
      <c r="G222" s="252">
        <f t="shared" si="255"/>
        <v>232908.67355529816</v>
      </c>
      <c r="H222" s="252">
        <f t="shared" si="255"/>
        <v>252424.12025896122</v>
      </c>
      <c r="I222" s="252">
        <f t="shared" si="255"/>
        <v>272688.28437655518</v>
      </c>
      <c r="J222" s="252">
        <f t="shared" si="255"/>
        <v>275638.11342079082</v>
      </c>
      <c r="K222" s="252">
        <f t="shared" si="255"/>
        <v>279292.87224038603</v>
      </c>
      <c r="L222" s="252">
        <f t="shared" si="255"/>
        <v>283055.94960192521</v>
      </c>
      <c r="M222" s="252">
        <f t="shared" si="255"/>
        <v>287526.35151863034</v>
      </c>
      <c r="N222" s="252">
        <f t="shared" si="255"/>
        <v>292092.13905148295</v>
      </c>
      <c r="O222" s="252">
        <f t="shared" si="255"/>
        <v>296874.7777053102</v>
      </c>
      <c r="P222" s="252">
        <f t="shared" si="255"/>
        <v>301718.75436971831</v>
      </c>
      <c r="Q222" s="252">
        <f t="shared" si="255"/>
        <v>306812.27938365447</v>
      </c>
      <c r="R222" s="252">
        <f t="shared" si="255"/>
        <v>168776.31497258309</v>
      </c>
      <c r="S222" s="252">
        <f t="shared" si="255"/>
        <v>117254.0257899198</v>
      </c>
    </row>
    <row r="223" spans="1:19" x14ac:dyDescent="0.25">
      <c r="B223" s="251" t="s">
        <v>315</v>
      </c>
      <c r="C223" s="253" t="s">
        <v>269</v>
      </c>
      <c r="D223" s="165">
        <f>D222/D22</f>
        <v>192.59218875929966</v>
      </c>
      <c r="E223" s="165"/>
      <c r="F223" s="165">
        <f t="shared" ref="F223:S223" si="256">F222/F22</f>
        <v>180.6767428406452</v>
      </c>
      <c r="G223" s="165">
        <f t="shared" si="256"/>
        <v>179.16051811946011</v>
      </c>
      <c r="H223" s="165">
        <f t="shared" si="256"/>
        <v>180.30294304211515</v>
      </c>
      <c r="I223" s="165">
        <f t="shared" si="256"/>
        <v>181.79218958437011</v>
      </c>
      <c r="J223" s="165">
        <f t="shared" si="256"/>
        <v>183.7587422805272</v>
      </c>
      <c r="K223" s="165">
        <f t="shared" si="256"/>
        <v>186.19524816025736</v>
      </c>
      <c r="L223" s="165">
        <f t="shared" si="256"/>
        <v>188.70396640128348</v>
      </c>
      <c r="M223" s="165">
        <f t="shared" si="256"/>
        <v>191.68423434575357</v>
      </c>
      <c r="N223" s="165">
        <f t="shared" si="256"/>
        <v>194.72809270098864</v>
      </c>
      <c r="O223" s="165">
        <f t="shared" si="256"/>
        <v>197.9165184702068</v>
      </c>
      <c r="P223" s="165">
        <f t="shared" si="256"/>
        <v>201.14583624647886</v>
      </c>
      <c r="Q223" s="165">
        <f t="shared" si="256"/>
        <v>204.54151958910299</v>
      </c>
      <c r="R223" s="165">
        <f t="shared" si="256"/>
        <v>210.97039371572885</v>
      </c>
      <c r="S223" s="165">
        <f t="shared" si="256"/>
        <v>289.14058726177802</v>
      </c>
    </row>
    <row r="224" spans="1:19" ht="26.4" x14ac:dyDescent="0.25">
      <c r="B224" s="254" t="s">
        <v>316</v>
      </c>
      <c r="C224" s="245" t="s">
        <v>271</v>
      </c>
      <c r="D224" s="255">
        <f>SUM(E224:S224)</f>
        <v>1164574.0408779359</v>
      </c>
      <c r="E224" s="255"/>
      <c r="F224" s="255">
        <f t="shared" ref="F224:S224" si="257">F110-F222+F218</f>
        <v>83660.531619042798</v>
      </c>
      <c r="G224" s="255">
        <f t="shared" si="257"/>
        <v>93288.429400056077</v>
      </c>
      <c r="H224" s="255">
        <f t="shared" si="257"/>
        <v>93867.224419998282</v>
      </c>
      <c r="I224" s="255">
        <f t="shared" si="257"/>
        <v>83284.629160609184</v>
      </c>
      <c r="J224" s="255">
        <f t="shared" si="257"/>
        <v>85117.36374010751</v>
      </c>
      <c r="K224" s="255">
        <f t="shared" si="257"/>
        <v>87033.303419926189</v>
      </c>
      <c r="L224" s="255">
        <f t="shared" si="257"/>
        <v>88974.855186143992</v>
      </c>
      <c r="M224" s="255">
        <f t="shared" si="257"/>
        <v>90943.797200965157</v>
      </c>
      <c r="N224" s="255">
        <f t="shared" si="257"/>
        <v>92941.816690932057</v>
      </c>
      <c r="O224" s="255">
        <f t="shared" si="257"/>
        <v>94970.520776276622</v>
      </c>
      <c r="P224" s="255">
        <f t="shared" si="257"/>
        <v>97031.446252087801</v>
      </c>
      <c r="Q224" s="255">
        <f t="shared" si="257"/>
        <v>99041.965718093212</v>
      </c>
      <c r="R224" s="255">
        <f t="shared" si="257"/>
        <v>53500.78302450796</v>
      </c>
      <c r="S224" s="255">
        <f t="shared" si="257"/>
        <v>20917.374269189095</v>
      </c>
    </row>
    <row r="225" spans="1:21" x14ac:dyDescent="0.25">
      <c r="B225" s="244" t="s">
        <v>317</v>
      </c>
      <c r="C225" s="237" t="s">
        <v>271</v>
      </c>
      <c r="D225" s="255">
        <f t="shared" ref="D225:D230" si="258">SUM(E225:S225)</f>
        <v>974724.02415039809</v>
      </c>
      <c r="E225" s="255"/>
      <c r="F225" s="255">
        <f t="shared" ref="F225:S225" si="259">F110-F222</f>
        <v>60938.087793543906</v>
      </c>
      <c r="G225" s="255">
        <f t="shared" si="259"/>
        <v>73344.710310765338</v>
      </c>
      <c r="H225" s="255">
        <f t="shared" si="259"/>
        <v>76383.498617848381</v>
      </c>
      <c r="I225" s="255">
        <f t="shared" si="259"/>
        <v>67667.003575168783</v>
      </c>
      <c r="J225" s="255">
        <f t="shared" si="259"/>
        <v>71547.956168797798</v>
      </c>
      <c r="K225" s="255">
        <f t="shared" si="259"/>
        <v>74921.870972019387</v>
      </c>
      <c r="L225" s="255">
        <f t="shared" si="259"/>
        <v>78328.040705753083</v>
      </c>
      <c r="M225" s="255">
        <f t="shared" si="259"/>
        <v>81170.270826226391</v>
      </c>
      <c r="N225" s="255">
        <f t="shared" si="259"/>
        <v>84063.367971295782</v>
      </c>
      <c r="O225" s="255">
        <f t="shared" si="259"/>
        <v>86888.791688949044</v>
      </c>
      <c r="P225" s="255">
        <f t="shared" si="259"/>
        <v>89805.038643451058</v>
      </c>
      <c r="Q225" s="255">
        <f t="shared" si="259"/>
        <v>92541.989489778294</v>
      </c>
      <c r="R225" s="255">
        <f t="shared" si="259"/>
        <v>48472.407294564269</v>
      </c>
      <c r="S225" s="255">
        <f t="shared" si="259"/>
        <v>-11349.009907763568</v>
      </c>
    </row>
    <row r="226" spans="1:21" ht="26.4" x14ac:dyDescent="0.25">
      <c r="B226" s="239" t="s">
        <v>318</v>
      </c>
      <c r="C226" s="237" t="s">
        <v>271</v>
      </c>
      <c r="D226" s="255">
        <f t="shared" si="258"/>
        <v>974724.02415039809</v>
      </c>
      <c r="E226" s="255"/>
      <c r="F226" s="255">
        <f>F225</f>
        <v>60938.087793543906</v>
      </c>
      <c r="G226" s="255">
        <f t="shared" ref="G226:S226" si="260">G225</f>
        <v>73344.710310765338</v>
      </c>
      <c r="H226" s="255">
        <f t="shared" si="260"/>
        <v>76383.498617848381</v>
      </c>
      <c r="I226" s="255">
        <f t="shared" si="260"/>
        <v>67667.003575168783</v>
      </c>
      <c r="J226" s="255">
        <f t="shared" si="260"/>
        <v>71547.956168797798</v>
      </c>
      <c r="K226" s="255">
        <f t="shared" si="260"/>
        <v>74921.870972019387</v>
      </c>
      <c r="L226" s="255">
        <f t="shared" si="260"/>
        <v>78328.040705753083</v>
      </c>
      <c r="M226" s="255">
        <f t="shared" si="260"/>
        <v>81170.270826226391</v>
      </c>
      <c r="N226" s="255">
        <f t="shared" si="260"/>
        <v>84063.367971295782</v>
      </c>
      <c r="O226" s="255">
        <f t="shared" si="260"/>
        <v>86888.791688949044</v>
      </c>
      <c r="P226" s="255">
        <f t="shared" si="260"/>
        <v>89805.038643451058</v>
      </c>
      <c r="Q226" s="255">
        <f t="shared" si="260"/>
        <v>92541.989489778294</v>
      </c>
      <c r="R226" s="255">
        <f t="shared" si="260"/>
        <v>48472.407294564269</v>
      </c>
      <c r="S226" s="255">
        <f t="shared" si="260"/>
        <v>-11349.009907763568</v>
      </c>
    </row>
    <row r="227" spans="1:21" x14ac:dyDescent="0.25">
      <c r="B227" s="244" t="s">
        <v>319</v>
      </c>
      <c r="C227" s="237" t="s">
        <v>271</v>
      </c>
      <c r="D227" s="255">
        <f t="shared" si="258"/>
        <v>197215</v>
      </c>
      <c r="E227" s="255"/>
      <c r="F227" s="255">
        <f>ROUND(IF((F226)&lt;0,0,20%*(F226)),0)</f>
        <v>12188</v>
      </c>
      <c r="G227" s="255">
        <f t="shared" ref="G227:S227" si="261">ROUND(IF((G226)&lt;0,0,20%*(G226)),0)</f>
        <v>14669</v>
      </c>
      <c r="H227" s="255">
        <f t="shared" si="261"/>
        <v>15277</v>
      </c>
      <c r="I227" s="255">
        <f t="shared" si="261"/>
        <v>13533</v>
      </c>
      <c r="J227" s="255">
        <f t="shared" si="261"/>
        <v>14310</v>
      </c>
      <c r="K227" s="255">
        <f t="shared" si="261"/>
        <v>14984</v>
      </c>
      <c r="L227" s="255">
        <f t="shared" si="261"/>
        <v>15666</v>
      </c>
      <c r="M227" s="255">
        <f t="shared" si="261"/>
        <v>16234</v>
      </c>
      <c r="N227" s="255">
        <f t="shared" si="261"/>
        <v>16813</v>
      </c>
      <c r="O227" s="255">
        <f t="shared" si="261"/>
        <v>17378</v>
      </c>
      <c r="P227" s="255">
        <f t="shared" si="261"/>
        <v>17961</v>
      </c>
      <c r="Q227" s="255">
        <f t="shared" si="261"/>
        <v>18508</v>
      </c>
      <c r="R227" s="255">
        <f t="shared" si="261"/>
        <v>9694</v>
      </c>
      <c r="S227" s="255">
        <f t="shared" si="261"/>
        <v>0</v>
      </c>
    </row>
    <row r="228" spans="1:21" x14ac:dyDescent="0.25">
      <c r="A228" s="250"/>
      <c r="B228" s="251" t="s">
        <v>320</v>
      </c>
      <c r="C228" s="237" t="s">
        <v>271</v>
      </c>
      <c r="D228" s="255">
        <f t="shared" si="258"/>
        <v>777509.02415039809</v>
      </c>
      <c r="E228" s="256"/>
      <c r="F228" s="256">
        <f>F225-F227</f>
        <v>48750.087793543906</v>
      </c>
      <c r="G228" s="256">
        <f t="shared" ref="G228:S228" si="262">G225-G227</f>
        <v>58675.710310765338</v>
      </c>
      <c r="H228" s="256">
        <f t="shared" si="262"/>
        <v>61106.498617848381</v>
      </c>
      <c r="I228" s="256">
        <f t="shared" si="262"/>
        <v>54134.003575168783</v>
      </c>
      <c r="J228" s="256">
        <f t="shared" si="262"/>
        <v>57237.956168797798</v>
      </c>
      <c r="K228" s="256">
        <f t="shared" si="262"/>
        <v>59937.870972019387</v>
      </c>
      <c r="L228" s="256">
        <f t="shared" si="262"/>
        <v>62662.040705753083</v>
      </c>
      <c r="M228" s="256">
        <f t="shared" si="262"/>
        <v>64936.270826226391</v>
      </c>
      <c r="N228" s="256">
        <f t="shared" si="262"/>
        <v>67250.367971295782</v>
      </c>
      <c r="O228" s="256">
        <f t="shared" si="262"/>
        <v>69510.791688949044</v>
      </c>
      <c r="P228" s="256">
        <f t="shared" si="262"/>
        <v>71844.038643451058</v>
      </c>
      <c r="Q228" s="256">
        <f t="shared" si="262"/>
        <v>74033.989489778294</v>
      </c>
      <c r="R228" s="256">
        <f t="shared" si="262"/>
        <v>38778.407294564269</v>
      </c>
      <c r="S228" s="256">
        <f t="shared" si="262"/>
        <v>-11349.009907763568</v>
      </c>
    </row>
    <row r="229" spans="1:21" x14ac:dyDescent="0.25">
      <c r="A229" s="250"/>
      <c r="B229" s="251" t="s">
        <v>321</v>
      </c>
      <c r="C229" s="237" t="s">
        <v>271</v>
      </c>
      <c r="D229" s="255">
        <f t="shared" si="258"/>
        <v>-190177.89845253804</v>
      </c>
      <c r="E229" s="255">
        <f>E230+E237</f>
        <v>-202184.61478129326</v>
      </c>
      <c r="F229" s="255">
        <f t="shared" ref="F229:S229" si="263">F230+F237</f>
        <v>-20662.377813148327</v>
      </c>
      <c r="G229" s="255">
        <f t="shared" si="263"/>
        <v>-9444.0850679826126</v>
      </c>
      <c r="H229" s="255">
        <f t="shared" si="263"/>
        <v>-5557.8608461584481</v>
      </c>
      <c r="I229" s="255">
        <f t="shared" si="263"/>
        <v>-2540.7394268471276</v>
      </c>
      <c r="J229" s="255">
        <f t="shared" si="263"/>
        <v>-1050.1152299207959</v>
      </c>
      <c r="K229" s="255">
        <f t="shared" si="263"/>
        <v>-1920.022208357836</v>
      </c>
      <c r="L229" s="255">
        <f t="shared" si="263"/>
        <v>-1059.2558765806816</v>
      </c>
      <c r="M229" s="255">
        <f t="shared" si="263"/>
        <v>-2412.6881129205226</v>
      </c>
      <c r="N229" s="255">
        <f t="shared" si="263"/>
        <v>-1885.0856621404498</v>
      </c>
      <c r="O229" s="255">
        <f t="shared" si="263"/>
        <v>-1745.2720860316219</v>
      </c>
      <c r="P229" s="255">
        <f t="shared" si="263"/>
        <v>-1077.6834264372319</v>
      </c>
      <c r="Q229" s="255">
        <f t="shared" si="263"/>
        <v>27606.639090764282</v>
      </c>
      <c r="R229" s="255">
        <f t="shared" si="263"/>
        <v>10304.457836532658</v>
      </c>
      <c r="S229" s="255">
        <f t="shared" si="263"/>
        <v>23450.805157983963</v>
      </c>
    </row>
    <row r="230" spans="1:21" x14ac:dyDescent="0.25">
      <c r="A230" s="164"/>
      <c r="B230" s="251" t="s">
        <v>322</v>
      </c>
      <c r="C230" s="237" t="s">
        <v>271</v>
      </c>
      <c r="D230" s="255">
        <f t="shared" si="258"/>
        <v>-190177.89845253798</v>
      </c>
      <c r="E230" s="255">
        <f t="shared" ref="E230:S230" si="264">E234+E233+E235+E236</f>
        <v>-157015.42907113195</v>
      </c>
      <c r="F230" s="255">
        <f t="shared" si="264"/>
        <v>-19249.828812249998</v>
      </c>
      <c r="G230" s="255">
        <f t="shared" si="264"/>
        <v>-5540.9957272499996</v>
      </c>
      <c r="H230" s="255">
        <f t="shared" si="264"/>
        <v>-1505.0280226396558</v>
      </c>
      <c r="I230" s="255">
        <f t="shared" si="264"/>
        <v>-1950.7736179999999</v>
      </c>
      <c r="J230" s="255">
        <f t="shared" si="264"/>
        <v>-319.16346600175336</v>
      </c>
      <c r="K230" s="255">
        <f t="shared" si="264"/>
        <v>-1167.4067360499998</v>
      </c>
      <c r="L230" s="255">
        <f t="shared" si="264"/>
        <v>-165.17549323965565</v>
      </c>
      <c r="M230" s="255">
        <f t="shared" si="264"/>
        <v>-1499.53060635</v>
      </c>
      <c r="N230" s="255">
        <f t="shared" si="264"/>
        <v>-928.55793137499995</v>
      </c>
      <c r="O230" s="255">
        <f t="shared" si="264"/>
        <v>-776.47675314999992</v>
      </c>
      <c r="P230" s="255">
        <f t="shared" si="264"/>
        <v>-58.978423649999996</v>
      </c>
      <c r="Q230" s="255">
        <f t="shared" si="264"/>
        <v>-0.55379144999999996</v>
      </c>
      <c r="R230" s="255">
        <f t="shared" si="264"/>
        <v>0</v>
      </c>
      <c r="S230" s="255">
        <f t="shared" si="264"/>
        <v>0</v>
      </c>
    </row>
    <row r="231" spans="1:21" x14ac:dyDescent="0.25">
      <c r="A231" s="164"/>
      <c r="B231" s="251" t="s">
        <v>323</v>
      </c>
      <c r="C231" s="253" t="s">
        <v>269</v>
      </c>
      <c r="D231" s="255">
        <f>D230/D22</f>
        <v>-10.194185811353588</v>
      </c>
      <c r="E231" s="255"/>
      <c r="F231" s="255"/>
      <c r="G231" s="255"/>
      <c r="H231" s="255"/>
      <c r="I231" s="255"/>
      <c r="J231" s="255"/>
      <c r="K231" s="255"/>
      <c r="L231" s="255"/>
      <c r="M231" s="257"/>
      <c r="N231" s="257"/>
      <c r="O231" s="257"/>
      <c r="P231" s="257"/>
      <c r="Q231" s="257"/>
      <c r="R231" s="257"/>
      <c r="S231" s="257"/>
    </row>
    <row r="232" spans="1:21" x14ac:dyDescent="0.25">
      <c r="A232" s="164"/>
      <c r="B232" s="244" t="s">
        <v>272</v>
      </c>
      <c r="C232" s="237"/>
      <c r="D232" s="258"/>
      <c r="E232" s="258"/>
      <c r="F232" s="255"/>
      <c r="G232" s="255"/>
      <c r="H232" s="255"/>
      <c r="I232" s="255"/>
      <c r="J232" s="255"/>
      <c r="K232" s="255"/>
      <c r="L232" s="255"/>
      <c r="M232" s="257"/>
      <c r="N232" s="257"/>
      <c r="O232" s="257"/>
      <c r="P232" s="257"/>
      <c r="Q232" s="257"/>
      <c r="R232" s="257"/>
      <c r="S232" s="257"/>
    </row>
    <row r="233" spans="1:21" x14ac:dyDescent="0.25">
      <c r="A233" s="164"/>
      <c r="B233" s="248" t="s">
        <v>59</v>
      </c>
      <c r="C233" s="237" t="s">
        <v>271</v>
      </c>
      <c r="D233" s="255">
        <f>SUM(E233:S233)</f>
        <v>-22745.199999999997</v>
      </c>
      <c r="E233" s="255"/>
      <c r="F233" s="255">
        <f>-F94*'И. Д.'!$F$85</f>
        <v>-18998.8</v>
      </c>
      <c r="G233" s="255">
        <f>-G94*'И. Д.'!$F$85</f>
        <v>-3746.3999999999996</v>
      </c>
      <c r="H233" s="255">
        <f>-H94*'И. Д.'!$F$85</f>
        <v>0</v>
      </c>
      <c r="I233" s="255">
        <f>-I94*'И. Д.'!$F$85</f>
        <v>0</v>
      </c>
      <c r="J233" s="255">
        <f>-J94*'И. Д.'!$F$85</f>
        <v>0</v>
      </c>
      <c r="K233" s="255">
        <f>-K94*'И. Д.'!I85</f>
        <v>0</v>
      </c>
      <c r="L233" s="255">
        <f>-L94*'И. Д.'!J85</f>
        <v>0</v>
      </c>
      <c r="M233" s="255">
        <f>-M94*'И. Д.'!K85</f>
        <v>0</v>
      </c>
      <c r="N233" s="255">
        <f>-N94*'И. Д.'!L85</f>
        <v>0</v>
      </c>
      <c r="O233" s="255">
        <f>-O94*'И. Д.'!M85</f>
        <v>0</v>
      </c>
      <c r="P233" s="255">
        <f>-P94*'И. Д.'!N85</f>
        <v>0</v>
      </c>
      <c r="Q233" s="255">
        <f>-Q94*'И. Д.'!O85</f>
        <v>0</v>
      </c>
      <c r="R233" s="255">
        <f>-R94*'И. Д.'!P85</f>
        <v>0</v>
      </c>
      <c r="S233" s="255">
        <f>-S94*'И. Д.'!Q85</f>
        <v>0</v>
      </c>
    </row>
    <row r="234" spans="1:21" x14ac:dyDescent="0.25">
      <c r="B234" s="244" t="s">
        <v>324</v>
      </c>
      <c r="C234" s="237" t="s">
        <v>271</v>
      </c>
      <c r="D234" s="255">
        <f t="shared" ref="D234:D238" si="265">SUM(E234:S234)</f>
        <v>-8769.0629314060643</v>
      </c>
      <c r="E234" s="255"/>
      <c r="F234" s="255">
        <f>-('Обнов об.1 оч'!H39+'Обнов обор 2 оч'!H55)</f>
        <v>-3.7978447499999994</v>
      </c>
      <c r="G234" s="255">
        <f>-('Обнов об.1 оч'!I39+'Обнов обор 2 оч'!I55)</f>
        <v>-393.62024474999998</v>
      </c>
      <c r="H234" s="255">
        <f>-('Обнов об.1 оч'!J39+'Обнов обор 2 оч'!J55)</f>
        <v>-1505.0280226396558</v>
      </c>
      <c r="I234" s="255">
        <f>-('Обнов об.1 оч'!K39+'Обнов обор 2 оч'!K55)</f>
        <v>-1950.7736179999999</v>
      </c>
      <c r="J234" s="255">
        <f>-('Обнов об.1 оч'!L39+'Обнов обор 2 оч'!L55)</f>
        <v>-319.16346600175336</v>
      </c>
      <c r="K234" s="255">
        <f>-('Обнов об.1 оч'!M39+'Обнов обор 2 оч'!M55)</f>
        <v>-1167.4067360499998</v>
      </c>
      <c r="L234" s="255">
        <f>-('Обнов об.1 оч'!N39+'Обнов обор 2 оч'!N55)</f>
        <v>-165.17549323965565</v>
      </c>
      <c r="M234" s="255">
        <f>-('Обнов об.1 оч'!O39+'Обнов обор 2 оч'!O55)</f>
        <v>-1499.53060635</v>
      </c>
      <c r="N234" s="255">
        <f>-('Обнов об.1 оч'!P39+'Обнов обор 2 оч'!P55)</f>
        <v>-928.55793137499995</v>
      </c>
      <c r="O234" s="255">
        <f>-('Обнов об.1 оч'!Q39+'Обнов обор 2 оч'!Q55)</f>
        <v>-776.47675314999992</v>
      </c>
      <c r="P234" s="255">
        <f>-('Обнов об.1 оч'!R39+'Обнов обор 2 оч'!R55)</f>
        <v>-58.978423649999996</v>
      </c>
      <c r="Q234" s="255">
        <f>-('Обнов об.1 оч'!S39+'Обнов обор 2 оч'!S55)</f>
        <v>-0.55379144999999996</v>
      </c>
      <c r="R234" s="255"/>
      <c r="S234" s="255"/>
    </row>
    <row r="235" spans="1:21" x14ac:dyDescent="0.25">
      <c r="B235" s="248" t="s">
        <v>521</v>
      </c>
      <c r="C235" s="237" t="s">
        <v>271</v>
      </c>
      <c r="D235" s="255">
        <f t="shared" si="265"/>
        <v>-1976.0881749999999</v>
      </c>
      <c r="E235" s="255">
        <f>-ПИР!G12</f>
        <v>-327.88172500000002</v>
      </c>
      <c r="F235" s="255">
        <f>-'Амор на доп обор'!F11</f>
        <v>-247.23096749999993</v>
      </c>
      <c r="G235" s="255">
        <f>-'Амор на доп обор'!G11</f>
        <v>-1400.9754824999998</v>
      </c>
      <c r="H235" s="255">
        <f>-H99*100/1000</f>
        <v>0</v>
      </c>
      <c r="I235" s="255">
        <f>-I99*100/1000</f>
        <v>0</v>
      </c>
      <c r="J235" s="255">
        <f>-J99*100/1000</f>
        <v>0</v>
      </c>
      <c r="K235" s="255">
        <f>-K99*100/1000</f>
        <v>0</v>
      </c>
      <c r="L235" s="255">
        <f>-L99*100/1000</f>
        <v>0</v>
      </c>
      <c r="M235" s="257"/>
      <c r="N235" s="257"/>
      <c r="O235" s="257"/>
      <c r="P235" s="257"/>
      <c r="Q235" s="257"/>
      <c r="R235" s="257"/>
      <c r="S235" s="257"/>
    </row>
    <row r="236" spans="1:21" ht="26.4" x14ac:dyDescent="0.25">
      <c r="B236" s="248" t="s">
        <v>325</v>
      </c>
      <c r="C236" s="237" t="s">
        <v>271</v>
      </c>
      <c r="D236" s="255">
        <f>SUM(E236:S236)</f>
        <v>-156687.54734613193</v>
      </c>
      <c r="E236" s="255">
        <f>-ОС!I8</f>
        <v>-156687.54734613193</v>
      </c>
      <c r="F236" s="255"/>
      <c r="G236" s="259"/>
      <c r="H236" s="259"/>
      <c r="I236" s="259"/>
      <c r="J236" s="259"/>
      <c r="K236" s="259"/>
      <c r="L236" s="259"/>
      <c r="M236" s="257"/>
      <c r="N236" s="257"/>
      <c r="O236" s="257"/>
      <c r="P236" s="257"/>
      <c r="Q236" s="257"/>
      <c r="R236" s="257"/>
      <c r="S236" s="257"/>
    </row>
    <row r="237" spans="1:21" x14ac:dyDescent="0.25">
      <c r="B237" s="244" t="s">
        <v>60</v>
      </c>
      <c r="C237" s="246" t="s">
        <v>271</v>
      </c>
      <c r="D237" s="255">
        <f t="shared" si="265"/>
        <v>0</v>
      </c>
      <c r="E237" s="259">
        <f>-20%*F222</f>
        <v>-45169.185710161306</v>
      </c>
      <c r="F237" s="259">
        <f t="shared" ref="F237:U237" si="266">-20%*(G222-F222)</f>
        <v>-1412.5490008983297</v>
      </c>
      <c r="G237" s="259">
        <f t="shared" si="266"/>
        <v>-3903.0893407326134</v>
      </c>
      <c r="H237" s="259">
        <f t="shared" si="266"/>
        <v>-4052.8328235187919</v>
      </c>
      <c r="I237" s="259">
        <f t="shared" si="266"/>
        <v>-589.96580884712751</v>
      </c>
      <c r="J237" s="259">
        <f t="shared" si="266"/>
        <v>-730.95176391904249</v>
      </c>
      <c r="K237" s="259">
        <f t="shared" si="266"/>
        <v>-752.61547230783617</v>
      </c>
      <c r="L237" s="259">
        <f t="shared" si="266"/>
        <v>-894.08038334102605</v>
      </c>
      <c r="M237" s="259">
        <f t="shared" si="266"/>
        <v>-913.15750657052274</v>
      </c>
      <c r="N237" s="259">
        <f t="shared" si="266"/>
        <v>-956.52773076544986</v>
      </c>
      <c r="O237" s="259">
        <f t="shared" si="266"/>
        <v>-968.79533288162202</v>
      </c>
      <c r="P237" s="259">
        <f t="shared" si="266"/>
        <v>-1018.7050027872319</v>
      </c>
      <c r="Q237" s="259">
        <f t="shared" si="266"/>
        <v>27607.19288221428</v>
      </c>
      <c r="R237" s="259">
        <f t="shared" si="266"/>
        <v>10304.457836532658</v>
      </c>
      <c r="S237" s="259">
        <f t="shared" si="266"/>
        <v>23450.805157983963</v>
      </c>
      <c r="T237" s="259">
        <f t="shared" si="266"/>
        <v>0</v>
      </c>
      <c r="U237" s="259">
        <f t="shared" si="266"/>
        <v>0</v>
      </c>
    </row>
    <row r="238" spans="1:21" x14ac:dyDescent="0.25">
      <c r="A238" s="250"/>
      <c r="B238" s="251" t="s">
        <v>326</v>
      </c>
      <c r="C238" s="253" t="s">
        <v>271</v>
      </c>
      <c r="D238" s="255">
        <f t="shared" si="265"/>
        <v>777181.14242539788</v>
      </c>
      <c r="E238" s="255">
        <f>E228+E229+E218</f>
        <v>-202184.61478129326</v>
      </c>
      <c r="F238" s="255">
        <f>F228+F229+F218</f>
        <v>50810.153805894472</v>
      </c>
      <c r="G238" s="255">
        <f t="shared" ref="G238:S238" si="267">G228+G229+G218</f>
        <v>69175.344332073466</v>
      </c>
      <c r="H238" s="255">
        <f t="shared" si="267"/>
        <v>73032.36357383983</v>
      </c>
      <c r="I238" s="255">
        <f t="shared" si="267"/>
        <v>67210.889733762058</v>
      </c>
      <c r="J238" s="255">
        <f t="shared" si="267"/>
        <v>69757.248510186721</v>
      </c>
      <c r="K238" s="255">
        <f t="shared" si="267"/>
        <v>70129.281211568363</v>
      </c>
      <c r="L238" s="255">
        <f t="shared" si="267"/>
        <v>72249.599309563302</v>
      </c>
      <c r="M238" s="255">
        <f t="shared" si="267"/>
        <v>72297.109088044628</v>
      </c>
      <c r="N238" s="255">
        <f t="shared" si="267"/>
        <v>74243.731028791604</v>
      </c>
      <c r="O238" s="255">
        <f t="shared" si="267"/>
        <v>75847.248690245004</v>
      </c>
      <c r="P238" s="255">
        <f t="shared" si="267"/>
        <v>77992.76282565057</v>
      </c>
      <c r="Q238" s="255">
        <f t="shared" si="267"/>
        <v>108140.60480885749</v>
      </c>
      <c r="R238" s="255">
        <f t="shared" si="267"/>
        <v>54111.24086104062</v>
      </c>
      <c r="S238" s="255">
        <f t="shared" si="267"/>
        <v>44368.179427173061</v>
      </c>
    </row>
    <row r="239" spans="1:21" x14ac:dyDescent="0.25">
      <c r="B239" s="251" t="s">
        <v>327</v>
      </c>
      <c r="C239" s="237" t="s">
        <v>271</v>
      </c>
      <c r="D239" s="260"/>
      <c r="E239" s="261">
        <f>E238</f>
        <v>-202184.61478129326</v>
      </c>
      <c r="F239" s="261">
        <f t="shared" ref="F239" si="268">E239+F238</f>
        <v>-151374.46097539878</v>
      </c>
      <c r="G239" s="261">
        <f t="shared" ref="G239" si="269">F239+G238</f>
        <v>-82199.116643325309</v>
      </c>
      <c r="H239" s="261">
        <f t="shared" ref="H239" si="270">G239+H238</f>
        <v>-9166.7530694854795</v>
      </c>
      <c r="I239" s="261">
        <f t="shared" ref="I239" si="271">H239+I238</f>
        <v>58044.136664276579</v>
      </c>
      <c r="J239" s="261">
        <f t="shared" ref="J239" si="272">I239+J238</f>
        <v>127801.3851744633</v>
      </c>
      <c r="K239" s="261">
        <f t="shared" ref="K239" si="273">J239+K238</f>
        <v>197930.66638603166</v>
      </c>
      <c r="L239" s="261">
        <f t="shared" ref="L239" si="274">K239+L238</f>
        <v>270180.26569559495</v>
      </c>
      <c r="M239" s="261">
        <f t="shared" ref="M239" si="275">L239+M238</f>
        <v>342477.37478363956</v>
      </c>
      <c r="N239" s="261">
        <f t="shared" ref="N239" si="276">M239+N238</f>
        <v>416721.1058124312</v>
      </c>
      <c r="O239" s="261">
        <f t="shared" ref="O239" si="277">N239+O238</f>
        <v>492568.35450267617</v>
      </c>
      <c r="P239" s="261">
        <f t="shared" ref="P239" si="278">O239+P238</f>
        <v>570561.11732832668</v>
      </c>
      <c r="Q239" s="261">
        <f t="shared" ref="Q239" si="279">P239+Q238</f>
        <v>678701.72213718412</v>
      </c>
      <c r="R239" s="261">
        <f t="shared" ref="R239" si="280">Q239+R238</f>
        <v>732812.96299822477</v>
      </c>
      <c r="S239" s="261">
        <f t="shared" ref="S239" si="281">R239+S238</f>
        <v>777181.14242539788</v>
      </c>
    </row>
    <row r="240" spans="1:21" x14ac:dyDescent="0.25">
      <c r="B240" s="262" t="s">
        <v>328</v>
      </c>
      <c r="C240" s="237"/>
      <c r="D240" s="263"/>
      <c r="E240" s="263"/>
      <c r="F240" s="263"/>
      <c r="G240" s="263"/>
      <c r="H240" s="263"/>
      <c r="I240" s="263"/>
      <c r="J240" s="263"/>
      <c r="K240" s="263"/>
      <c r="L240" s="255"/>
      <c r="M240" s="257"/>
      <c r="N240" s="257"/>
      <c r="O240" s="257"/>
      <c r="P240" s="257"/>
      <c r="Q240" s="257"/>
      <c r="R240" s="257"/>
      <c r="S240" s="257"/>
    </row>
    <row r="241" spans="2:19" x14ac:dyDescent="0.25">
      <c r="B241" s="264" t="s">
        <v>329</v>
      </c>
      <c r="C241" s="237" t="s">
        <v>271</v>
      </c>
      <c r="D241" s="255">
        <f>NPV(5%,E238:S238)</f>
        <v>462805.22201237519</v>
      </c>
      <c r="E241" s="260"/>
      <c r="F241" s="255"/>
      <c r="G241" s="255"/>
      <c r="H241" s="255"/>
      <c r="I241" s="255"/>
      <c r="J241" s="255"/>
      <c r="K241" s="255"/>
      <c r="L241" s="255"/>
      <c r="M241" s="257"/>
      <c r="N241" s="257"/>
      <c r="O241" s="257"/>
      <c r="P241" s="257"/>
      <c r="Q241" s="257"/>
      <c r="R241" s="257"/>
      <c r="S241" s="257"/>
    </row>
    <row r="242" spans="2:19" x14ac:dyDescent="0.25">
      <c r="B242" s="264" t="s">
        <v>330</v>
      </c>
      <c r="C242" s="237" t="s">
        <v>271</v>
      </c>
      <c r="D242" s="255">
        <f>NPV(10%,E238:S238)</f>
        <v>277758.56987121294</v>
      </c>
      <c r="E242" s="265"/>
      <c r="F242" s="266"/>
      <c r="G242" s="266"/>
      <c r="H242" s="266"/>
      <c r="I242" s="266"/>
      <c r="J242" s="266"/>
      <c r="K242" s="266"/>
      <c r="L242" s="255"/>
      <c r="M242" s="257"/>
      <c r="N242" s="257"/>
      <c r="O242" s="257"/>
      <c r="P242" s="257"/>
      <c r="Q242" s="257"/>
      <c r="R242" s="257"/>
      <c r="S242" s="257"/>
    </row>
    <row r="243" spans="2:19" x14ac:dyDescent="0.25">
      <c r="B243" s="264" t="s">
        <v>531</v>
      </c>
      <c r="C243" s="237" t="s">
        <v>271</v>
      </c>
      <c r="D243" s="255">
        <f>NPV(15%,E238:S238)</f>
        <v>163863.32877134203</v>
      </c>
      <c r="E243" s="260"/>
      <c r="F243" s="255"/>
      <c r="G243" s="255"/>
      <c r="H243" s="255"/>
      <c r="I243" s="255"/>
      <c r="J243" s="255"/>
      <c r="K243" s="255"/>
      <c r="L243" s="255"/>
      <c r="M243" s="257"/>
      <c r="N243" s="257"/>
      <c r="O243" s="257"/>
      <c r="P243" s="257"/>
      <c r="Q243" s="257"/>
      <c r="R243" s="257"/>
      <c r="S243" s="257"/>
    </row>
    <row r="244" spans="2:19" x14ac:dyDescent="0.25">
      <c r="B244" s="264" t="s">
        <v>331</v>
      </c>
      <c r="C244" s="237" t="s">
        <v>271</v>
      </c>
      <c r="D244" s="255">
        <f>NPV(20%,E238:S238)</f>
        <v>90956.107980465065</v>
      </c>
      <c r="E244" s="260"/>
      <c r="F244" s="255"/>
      <c r="G244" s="255"/>
      <c r="H244" s="255"/>
      <c r="I244" s="255"/>
      <c r="J244" s="255"/>
      <c r="K244" s="255"/>
      <c r="L244" s="255"/>
      <c r="M244" s="257"/>
      <c r="N244" s="257"/>
      <c r="O244" s="257"/>
      <c r="P244" s="257"/>
      <c r="Q244" s="257"/>
      <c r="R244" s="257"/>
      <c r="S244" s="257"/>
    </row>
    <row r="245" spans="2:19" x14ac:dyDescent="0.25">
      <c r="B245" s="264"/>
      <c r="C245" s="237"/>
      <c r="D245" s="255"/>
      <c r="E245" s="260"/>
      <c r="F245" s="255"/>
      <c r="G245" s="255"/>
      <c r="H245" s="255"/>
      <c r="I245" s="255"/>
      <c r="J245" s="255"/>
      <c r="K245" s="255"/>
      <c r="L245" s="255"/>
      <c r="M245" s="257"/>
      <c r="N245" s="257"/>
      <c r="O245" s="257"/>
      <c r="P245" s="257"/>
      <c r="Q245" s="257"/>
      <c r="R245" s="257"/>
      <c r="S245" s="257"/>
    </row>
    <row r="246" spans="2:19" x14ac:dyDescent="0.25">
      <c r="B246" s="262" t="s">
        <v>332</v>
      </c>
      <c r="C246" s="237" t="s">
        <v>2</v>
      </c>
      <c r="D246" s="267">
        <f>IRR(E238:S238)</f>
        <v>0.31920081511948739</v>
      </c>
      <c r="E246" s="268"/>
      <c r="F246" s="255"/>
      <c r="G246" s="255"/>
      <c r="H246" s="255"/>
      <c r="I246" s="255"/>
      <c r="J246" s="255"/>
      <c r="K246" s="255"/>
      <c r="L246" s="255"/>
      <c r="M246" s="168"/>
      <c r="N246" s="168"/>
      <c r="O246" s="168"/>
      <c r="P246" s="168"/>
      <c r="Q246" s="168"/>
      <c r="R246" s="168"/>
      <c r="S246" s="168"/>
    </row>
    <row r="247" spans="2:19" x14ac:dyDescent="0.25">
      <c r="B247" s="262" t="s">
        <v>526</v>
      </c>
      <c r="C247" s="270"/>
      <c r="D247" s="552">
        <f>D224/D229</f>
        <v>-6.1236034804989403</v>
      </c>
      <c r="E247" s="273"/>
      <c r="F247" s="272"/>
      <c r="G247" s="272"/>
      <c r="H247" s="272"/>
      <c r="I247" s="272"/>
      <c r="J247" s="272"/>
      <c r="K247" s="272"/>
      <c r="L247" s="272"/>
    </row>
    <row r="248" spans="2:19" x14ac:dyDescent="0.25">
      <c r="B248" s="168" t="s">
        <v>527</v>
      </c>
      <c r="C248" s="168" t="s">
        <v>529</v>
      </c>
      <c r="D248" s="213">
        <f>S6</f>
        <v>14</v>
      </c>
    </row>
    <row r="249" spans="2:19" ht="13.8" x14ac:dyDescent="0.25">
      <c r="B249" s="269" t="s">
        <v>528</v>
      </c>
      <c r="C249" s="168" t="s">
        <v>529</v>
      </c>
      <c r="D249" s="271">
        <f>11-P239/Q238</f>
        <v>5.7238956325719235</v>
      </c>
    </row>
    <row r="250" spans="2:19" x14ac:dyDescent="0.25">
      <c r="D250" s="274"/>
    </row>
    <row r="251" spans="2:19" x14ac:dyDescent="0.25">
      <c r="D251" s="274"/>
    </row>
  </sheetData>
  <mergeCells count="37">
    <mergeCell ref="B211:B212"/>
    <mergeCell ref="B161:B162"/>
    <mergeCell ref="B163:B164"/>
    <mergeCell ref="B165:B166"/>
    <mergeCell ref="B169:B170"/>
    <mergeCell ref="B171:B172"/>
    <mergeCell ref="B173:B174"/>
    <mergeCell ref="B175:B176"/>
    <mergeCell ref="B178:B179"/>
    <mergeCell ref="B181:B182"/>
    <mergeCell ref="B200:B201"/>
    <mergeCell ref="B206:B207"/>
    <mergeCell ref="B167:B168"/>
    <mergeCell ref="B159:B160"/>
    <mergeCell ref="B132:B133"/>
    <mergeCell ref="B136:B137"/>
    <mergeCell ref="B138:B139"/>
    <mergeCell ref="B140:B141"/>
    <mergeCell ref="B143:B144"/>
    <mergeCell ref="B145:B146"/>
    <mergeCell ref="B149:B150"/>
    <mergeCell ref="B151:B152"/>
    <mergeCell ref="B153:B154"/>
    <mergeCell ref="B155:B156"/>
    <mergeCell ref="B157:B158"/>
    <mergeCell ref="B147:B148"/>
    <mergeCell ref="B134:B135"/>
    <mergeCell ref="B130:B131"/>
    <mergeCell ref="B5:B6"/>
    <mergeCell ref="C5:C6"/>
    <mergeCell ref="D5:D6"/>
    <mergeCell ref="F5:L5"/>
    <mergeCell ref="B106:B107"/>
    <mergeCell ref="B108:B109"/>
    <mergeCell ref="B110:B111"/>
    <mergeCell ref="B125:B126"/>
    <mergeCell ref="B128:B129"/>
  </mergeCells>
  <pageMargins left="0.7" right="0.7" top="0.75" bottom="0.75" header="0.3" footer="0.3"/>
  <pageSetup paperSize="9" orientation="portrait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81"/>
  <sheetViews>
    <sheetView workbookViewId="0"/>
  </sheetViews>
  <sheetFormatPr defaultRowHeight="14.4" x14ac:dyDescent="0.3"/>
  <cols>
    <col min="1" max="1" width="9.33203125" bestFit="1" customWidth="1"/>
    <col min="2" max="2" width="49.88671875" customWidth="1"/>
    <col min="3" max="3" width="16" bestFit="1" customWidth="1"/>
    <col min="4" max="4" width="17" bestFit="1" customWidth="1"/>
    <col min="5" max="5" width="17.109375" bestFit="1" customWidth="1"/>
    <col min="6" max="6" width="11.44140625" customWidth="1"/>
    <col min="7" max="9" width="11.6640625" customWidth="1"/>
    <col min="10" max="11" width="11" customWidth="1"/>
    <col min="13" max="13" width="11.6640625" customWidth="1"/>
    <col min="14" max="18" width="11.109375" customWidth="1"/>
    <col min="19" max="19" width="9.109375" customWidth="1"/>
    <col min="20" max="20" width="9.5546875" customWidth="1"/>
    <col min="21" max="24" width="9.109375" customWidth="1"/>
    <col min="25" max="25" width="12.6640625" customWidth="1"/>
    <col min="26" max="31" width="9.109375" customWidth="1"/>
    <col min="32" max="36" width="11.109375" customWidth="1"/>
    <col min="37" max="44" width="9.109375" customWidth="1"/>
    <col min="45" max="45" width="13.44140625" customWidth="1"/>
    <col min="46" max="103" width="9.109375" customWidth="1"/>
  </cols>
  <sheetData>
    <row r="2" spans="2:18" x14ac:dyDescent="0.3">
      <c r="B2" s="140"/>
      <c r="C2" s="140"/>
      <c r="D2" s="71"/>
      <c r="E2" s="71"/>
      <c r="F2" s="72"/>
      <c r="G2" s="72"/>
      <c r="H2" s="72"/>
      <c r="I2" s="72"/>
      <c r="J2" s="72"/>
      <c r="K2" s="71"/>
      <c r="L2" s="71"/>
      <c r="M2" s="71"/>
      <c r="N2" s="71"/>
      <c r="O2" s="71"/>
      <c r="P2" s="71"/>
      <c r="Q2" s="71"/>
      <c r="R2" s="71"/>
    </row>
    <row r="3" spans="2:18" ht="15" thickBot="1" x14ac:dyDescent="0.35">
      <c r="B3" s="71" t="s">
        <v>171</v>
      </c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</row>
    <row r="4" spans="2:18" x14ac:dyDescent="0.3">
      <c r="B4" s="141" t="s">
        <v>172</v>
      </c>
      <c r="C4" s="142" t="s">
        <v>173</v>
      </c>
      <c r="D4" s="143"/>
      <c r="E4" s="143"/>
      <c r="F4" s="143"/>
      <c r="G4" s="143"/>
      <c r="H4" s="143"/>
      <c r="I4" s="143"/>
      <c r="J4" s="143"/>
      <c r="K4" s="144" t="s">
        <v>171</v>
      </c>
      <c r="L4" s="143"/>
      <c r="M4" s="143"/>
      <c r="N4" s="143"/>
      <c r="O4" s="143"/>
      <c r="P4" s="143"/>
      <c r="Q4" s="143"/>
      <c r="R4" s="145"/>
    </row>
    <row r="5" spans="2:18" x14ac:dyDescent="0.3">
      <c r="B5" s="146"/>
      <c r="C5" s="147" t="s">
        <v>131</v>
      </c>
      <c r="D5" s="148"/>
      <c r="E5" s="149"/>
      <c r="F5" s="150" t="s">
        <v>174</v>
      </c>
      <c r="G5" s="151"/>
      <c r="H5" s="151"/>
      <c r="I5" s="151"/>
      <c r="J5" s="151"/>
      <c r="K5" s="152"/>
      <c r="L5" s="153"/>
      <c r="M5" s="73" t="s">
        <v>131</v>
      </c>
      <c r="N5" s="150" t="s">
        <v>175</v>
      </c>
      <c r="O5" s="151"/>
      <c r="P5" s="151"/>
      <c r="Q5" s="151"/>
      <c r="R5" s="154"/>
    </row>
    <row r="6" spans="2:18" ht="42" thickBot="1" x14ac:dyDescent="0.35">
      <c r="B6" s="146"/>
      <c r="C6" s="74" t="s">
        <v>176</v>
      </c>
      <c r="D6" s="74" t="s">
        <v>177</v>
      </c>
      <c r="E6" s="74" t="s">
        <v>178</v>
      </c>
      <c r="F6" s="74" t="s">
        <v>179</v>
      </c>
      <c r="G6" s="74" t="s">
        <v>180</v>
      </c>
      <c r="H6" s="74" t="s">
        <v>181</v>
      </c>
      <c r="I6" s="75" t="s">
        <v>182</v>
      </c>
      <c r="J6" s="76" t="s">
        <v>183</v>
      </c>
      <c r="K6" s="77" t="s">
        <v>184</v>
      </c>
      <c r="L6" s="78" t="s">
        <v>185</v>
      </c>
      <c r="M6" s="78" t="s">
        <v>186</v>
      </c>
      <c r="N6" s="78" t="s">
        <v>187</v>
      </c>
      <c r="O6" s="74" t="s">
        <v>180</v>
      </c>
      <c r="P6" s="74" t="s">
        <v>181</v>
      </c>
      <c r="Q6" s="75" t="s">
        <v>188</v>
      </c>
      <c r="R6" s="79" t="s">
        <v>183</v>
      </c>
    </row>
    <row r="7" spans="2:18" ht="15" thickBot="1" x14ac:dyDescent="0.35">
      <c r="B7" s="135" t="s">
        <v>189</v>
      </c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7"/>
    </row>
    <row r="8" spans="2:18" x14ac:dyDescent="0.3">
      <c r="B8" s="80"/>
      <c r="C8" s="81">
        <f>D8/E8</f>
        <v>4677944.16883248</v>
      </c>
      <c r="D8" s="82">
        <v>17729408.399875101</v>
      </c>
      <c r="E8" s="82">
        <v>3.79</v>
      </c>
      <c r="F8" s="83">
        <v>2.0488878456639599</v>
      </c>
      <c r="G8" s="83">
        <v>4.0424732233729799</v>
      </c>
      <c r="H8" s="83">
        <v>1.2486675397173701</v>
      </c>
      <c r="I8" s="83">
        <v>0.84679020911172997</v>
      </c>
      <c r="J8" s="83">
        <v>96.061350230072406</v>
      </c>
      <c r="K8" s="84">
        <v>7.54</v>
      </c>
      <c r="L8" s="82">
        <v>12.13</v>
      </c>
      <c r="M8" s="85">
        <f>D8*((100-K8)/100)/((100-L8)/100)</f>
        <v>18655526.353163216</v>
      </c>
      <c r="N8" s="86">
        <f>N9/$M8*100</f>
        <v>1.8003577499849217</v>
      </c>
      <c r="O8" s="87">
        <f>O9/$M8*100</f>
        <v>3.5521212213778375</v>
      </c>
      <c r="P8" s="87">
        <f>P9/$M8*100</f>
        <v>1.0972041671496531</v>
      </c>
      <c r="Q8" s="87">
        <f>Q9/$M8*1000</f>
        <v>0.74407455674647716</v>
      </c>
      <c r="R8" s="88">
        <f>R9/$M8*1000</f>
        <v>84.409108447164627</v>
      </c>
    </row>
    <row r="9" spans="2:18" ht="15" thickBot="1" x14ac:dyDescent="0.35">
      <c r="B9" s="89"/>
      <c r="C9" s="90"/>
      <c r="D9" s="90"/>
      <c r="E9" s="90"/>
      <c r="F9" s="91">
        <f>$D8*F8/100</f>
        <v>363255.69381316612</v>
      </c>
      <c r="G9" s="91">
        <f>$D8*G8/100</f>
        <v>716706.58722739085</v>
      </c>
      <c r="H9" s="91">
        <f>$D8*H8/100</f>
        <v>221381.36767316516</v>
      </c>
      <c r="I9" s="91">
        <f>$D8*I8/1000</f>
        <v>15013.089446357499</v>
      </c>
      <c r="J9" s="91">
        <f>$D8*J8/1000</f>
        <v>1703110.9096723897</v>
      </c>
      <c r="K9" s="92"/>
      <c r="L9" s="93"/>
      <c r="M9" s="90"/>
      <c r="N9" s="91">
        <f>F9*((100-$K8)/100)</f>
        <v>335866.21449965338</v>
      </c>
      <c r="O9" s="94">
        <f>G9*((100-$K8)/100)</f>
        <v>662666.91055044555</v>
      </c>
      <c r="P9" s="94">
        <f>H9*((100-$K8)/100)</f>
        <v>204689.2125506085</v>
      </c>
      <c r="Q9" s="94">
        <f>I9*((100-$K8)/100)</f>
        <v>13881.102502102143</v>
      </c>
      <c r="R9" s="95">
        <f>J9*((100-$K8)/100)</f>
        <v>1574696.3470830915</v>
      </c>
    </row>
    <row r="10" spans="2:18" ht="15" hidden="1" customHeight="1" x14ac:dyDescent="0.3">
      <c r="B10" s="80"/>
      <c r="C10" s="81"/>
      <c r="D10" s="81"/>
      <c r="E10" s="82"/>
      <c r="F10" s="83"/>
      <c r="G10" s="83"/>
      <c r="H10" s="83"/>
      <c r="I10" s="83"/>
      <c r="J10" s="83"/>
      <c r="K10" s="84"/>
      <c r="L10" s="82"/>
      <c r="M10" s="85"/>
      <c r="N10" s="86"/>
      <c r="O10" s="87"/>
      <c r="P10" s="87"/>
      <c r="Q10" s="87"/>
      <c r="R10" s="88"/>
    </row>
    <row r="11" spans="2:18" ht="15.75" hidden="1" customHeight="1" thickBot="1" x14ac:dyDescent="0.35">
      <c r="B11" s="89"/>
      <c r="C11" s="90"/>
      <c r="D11" s="90"/>
      <c r="E11" s="93"/>
      <c r="F11" s="91"/>
      <c r="G11" s="91"/>
      <c r="H11" s="91"/>
      <c r="I11" s="91"/>
      <c r="J11" s="91"/>
      <c r="K11" s="92"/>
      <c r="L11" s="93"/>
      <c r="M11" s="90"/>
      <c r="N11" s="91"/>
      <c r="O11" s="94"/>
      <c r="P11" s="94"/>
      <c r="Q11" s="94"/>
      <c r="R11" s="95"/>
    </row>
    <row r="12" spans="2:18" ht="15" hidden="1" customHeight="1" thickBot="1" x14ac:dyDescent="0.35">
      <c r="B12" s="80"/>
      <c r="C12" s="81"/>
      <c r="D12" s="81"/>
      <c r="E12" s="82"/>
      <c r="F12" s="83"/>
      <c r="G12" s="83"/>
      <c r="H12" s="83"/>
      <c r="I12" s="83"/>
      <c r="J12" s="83"/>
      <c r="K12" s="84"/>
      <c r="L12" s="82"/>
      <c r="M12" s="85"/>
      <c r="N12" s="86"/>
      <c r="O12" s="87"/>
      <c r="P12" s="87"/>
      <c r="Q12" s="87"/>
      <c r="R12" s="88"/>
    </row>
    <row r="13" spans="2:18" ht="15.75" hidden="1" customHeight="1" x14ac:dyDescent="0.3">
      <c r="B13" s="89"/>
      <c r="C13" s="90"/>
      <c r="D13" s="90"/>
      <c r="E13" s="93"/>
      <c r="F13" s="91"/>
      <c r="G13" s="91"/>
      <c r="H13" s="91"/>
      <c r="I13" s="91"/>
      <c r="J13" s="91"/>
      <c r="K13" s="92"/>
      <c r="L13" s="93"/>
      <c r="M13" s="90"/>
      <c r="N13" s="91"/>
      <c r="O13" s="94"/>
      <c r="P13" s="94"/>
      <c r="Q13" s="94"/>
      <c r="R13" s="95"/>
    </row>
    <row r="14" spans="2:18" ht="15" hidden="1" customHeight="1" thickBot="1" x14ac:dyDescent="0.35">
      <c r="B14" s="80"/>
      <c r="C14" s="81"/>
      <c r="D14" s="81"/>
      <c r="E14" s="82"/>
      <c r="F14" s="83"/>
      <c r="G14" s="83"/>
      <c r="H14" s="83"/>
      <c r="I14" s="83"/>
      <c r="J14" s="83"/>
      <c r="K14" s="84"/>
      <c r="L14" s="82"/>
      <c r="M14" s="85"/>
      <c r="N14" s="86"/>
      <c r="O14" s="87"/>
      <c r="P14" s="87"/>
      <c r="Q14" s="87"/>
      <c r="R14" s="88"/>
    </row>
    <row r="15" spans="2:18" ht="15.75" hidden="1" customHeight="1" x14ac:dyDescent="0.3">
      <c r="B15" s="89"/>
      <c r="C15" s="90"/>
      <c r="D15" s="90"/>
      <c r="E15" s="93"/>
      <c r="F15" s="91"/>
      <c r="G15" s="91"/>
      <c r="H15" s="91"/>
      <c r="I15" s="91"/>
      <c r="J15" s="91"/>
      <c r="K15" s="92"/>
      <c r="L15" s="93"/>
      <c r="M15" s="90"/>
      <c r="N15" s="91"/>
      <c r="O15" s="94"/>
      <c r="P15" s="94"/>
      <c r="Q15" s="94"/>
      <c r="R15" s="95"/>
    </row>
    <row r="16" spans="2:18" ht="15" hidden="1" customHeight="1" thickBot="1" x14ac:dyDescent="0.35">
      <c r="B16" s="80"/>
      <c r="C16" s="81"/>
      <c r="D16" s="81"/>
      <c r="E16" s="82"/>
      <c r="F16" s="83"/>
      <c r="G16" s="83"/>
      <c r="H16" s="83"/>
      <c r="I16" s="83"/>
      <c r="J16" s="83"/>
      <c r="K16" s="84"/>
      <c r="L16" s="82"/>
      <c r="M16" s="85"/>
      <c r="N16" s="86"/>
      <c r="O16" s="87"/>
      <c r="P16" s="87"/>
      <c r="Q16" s="87"/>
      <c r="R16" s="88"/>
    </row>
    <row r="17" spans="2:18" ht="15.75" hidden="1" customHeight="1" thickBot="1" x14ac:dyDescent="0.35">
      <c r="B17" s="89"/>
      <c r="C17" s="90"/>
      <c r="D17" s="90"/>
      <c r="E17" s="93"/>
      <c r="F17" s="91"/>
      <c r="G17" s="91"/>
      <c r="H17" s="91"/>
      <c r="I17" s="91"/>
      <c r="J17" s="91"/>
      <c r="K17" s="92"/>
      <c r="L17" s="93"/>
      <c r="M17" s="90"/>
      <c r="N17" s="91"/>
      <c r="O17" s="94"/>
      <c r="P17" s="94"/>
      <c r="Q17" s="94"/>
      <c r="R17" s="95"/>
    </row>
    <row r="18" spans="2:18" x14ac:dyDescent="0.3">
      <c r="B18" s="138" t="s">
        <v>190</v>
      </c>
      <c r="C18" s="96">
        <f>SUM(C8:C15)</f>
        <v>4677944.16883248</v>
      </c>
      <c r="D18" s="96">
        <f>SUM(D8:D17)</f>
        <v>17729408.399875101</v>
      </c>
      <c r="E18" s="82">
        <v>3.15</v>
      </c>
      <c r="F18" s="83">
        <f>F19/D18*100</f>
        <v>2.0488878456639599</v>
      </c>
      <c r="G18" s="83">
        <f>G19/D18*100</f>
        <v>4.0424732233729799</v>
      </c>
      <c r="H18" s="83">
        <f>H19/D18*100</f>
        <v>1.2486675397173701</v>
      </c>
      <c r="I18" s="83">
        <f>I19/D18*1000</f>
        <v>0.84679020911173009</v>
      </c>
      <c r="J18" s="83">
        <f>J19/D18*1000</f>
        <v>96.061350230072406</v>
      </c>
      <c r="K18" s="84"/>
      <c r="L18" s="82"/>
      <c r="M18" s="96">
        <f>SUM(M8:M17)</f>
        <v>18655526.353163216</v>
      </c>
      <c r="N18" s="97">
        <f>N19/M18*100</f>
        <v>1.8003577499849217</v>
      </c>
      <c r="O18" s="98">
        <f>O19/M18*100</f>
        <v>3.5521212213778375</v>
      </c>
      <c r="P18" s="98">
        <f>P19/M18*100</f>
        <v>1.0972041671496531</v>
      </c>
      <c r="Q18" s="98">
        <f>Q19/M18*1000</f>
        <v>0.74407455674647716</v>
      </c>
      <c r="R18" s="99">
        <f>R19/$M18*1000</f>
        <v>84.409108447164627</v>
      </c>
    </row>
    <row r="19" spans="2:18" ht="15" thickBot="1" x14ac:dyDescent="0.35">
      <c r="B19" s="139"/>
      <c r="C19" s="100"/>
      <c r="D19" s="100" t="s">
        <v>191</v>
      </c>
      <c r="E19" s="100"/>
      <c r="F19" s="91">
        <f>F9+F11+F13+F15+F17</f>
        <v>363255.69381316612</v>
      </c>
      <c r="G19" s="91">
        <f t="shared" ref="G19:J19" si="0">G9+G11+G13+G15+G17</f>
        <v>716706.58722739085</v>
      </c>
      <c r="H19" s="91">
        <f t="shared" si="0"/>
        <v>221381.36767316516</v>
      </c>
      <c r="I19" s="91">
        <f t="shared" si="0"/>
        <v>15013.089446357499</v>
      </c>
      <c r="J19" s="91">
        <f t="shared" si="0"/>
        <v>1703110.9096723897</v>
      </c>
      <c r="K19" s="92"/>
      <c r="L19" s="93"/>
      <c r="M19" s="101"/>
      <c r="N19" s="91">
        <f>N9+N11+N13+N15+N17</f>
        <v>335866.21449965338</v>
      </c>
      <c r="O19" s="91">
        <f t="shared" ref="O19:R19" si="1">O9+O11+O13+O15+O17</f>
        <v>662666.91055044555</v>
      </c>
      <c r="P19" s="91">
        <f t="shared" si="1"/>
        <v>204689.2125506085</v>
      </c>
      <c r="Q19" s="91">
        <f t="shared" si="1"/>
        <v>13881.102502102143</v>
      </c>
      <c r="R19" s="95">
        <f t="shared" si="1"/>
        <v>1574696.3470830915</v>
      </c>
    </row>
    <row r="20" spans="2:18" ht="15" thickBot="1" x14ac:dyDescent="0.35">
      <c r="B20" s="135" t="s">
        <v>192</v>
      </c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7"/>
    </row>
    <row r="21" spans="2:18" x14ac:dyDescent="0.3">
      <c r="B21" s="80"/>
      <c r="C21" s="81">
        <f>D21/E21</f>
        <v>4357493.9514182322</v>
      </c>
      <c r="D21" s="82">
        <v>16514902.0758751</v>
      </c>
      <c r="E21" s="82">
        <v>3.79</v>
      </c>
      <c r="F21" s="83">
        <v>2.13998866077121</v>
      </c>
      <c r="G21" s="83">
        <v>4.3208041866159101</v>
      </c>
      <c r="H21" s="83">
        <v>1.33331586196198</v>
      </c>
      <c r="I21" s="83">
        <v>0.89840649998422795</v>
      </c>
      <c r="J21" s="83">
        <v>102.42636049888399</v>
      </c>
      <c r="K21" s="84">
        <v>7.54</v>
      </c>
      <c r="L21" s="82">
        <v>12.13</v>
      </c>
      <c r="M21" s="85">
        <f>D21*((100-K21)/100)/((100-L21)/100)</f>
        <v>17377578.763348263</v>
      </c>
      <c r="N21" s="86">
        <f>N22/$M21*100</f>
        <v>1.880408036219662</v>
      </c>
      <c r="O21" s="87">
        <f>O22/$M21*100</f>
        <v>3.7966906387793995</v>
      </c>
      <c r="P21" s="87">
        <f>P22/$M21*100</f>
        <v>1.1715846479059915</v>
      </c>
      <c r="Q21" s="87">
        <f>Q22/$M21*1000</f>
        <v>0.7894297915361409</v>
      </c>
      <c r="R21" s="88">
        <f>R22/$M21*1000</f>
        <v>90.002042970369359</v>
      </c>
    </row>
    <row r="22" spans="2:18" ht="15" thickBot="1" x14ac:dyDescent="0.35">
      <c r="B22" s="89"/>
      <c r="C22" s="90"/>
      <c r="D22" s="90"/>
      <c r="E22" s="90"/>
      <c r="F22" s="91">
        <f>$D21*F21/100</f>
        <v>353417.03176119633</v>
      </c>
      <c r="G22" s="91">
        <f>$D21*G21/100</f>
        <v>713576.58030992909</v>
      </c>
      <c r="H22" s="91">
        <f>$D21*H21/100</f>
        <v>220195.808965131</v>
      </c>
      <c r="I22" s="91">
        <f>$D21*I21/1000</f>
        <v>14837.095371569209</v>
      </c>
      <c r="J22" s="91">
        <f>$D21*J21/1000</f>
        <v>1691561.3136273506</v>
      </c>
      <c r="K22" s="92"/>
      <c r="L22" s="93"/>
      <c r="M22" s="90"/>
      <c r="N22" s="91">
        <f>F22*((100-$K21)/100)</f>
        <v>326769.38756640209</v>
      </c>
      <c r="O22" s="94">
        <f>G22*((100-$K21)/100)</f>
        <v>659772.90615456039</v>
      </c>
      <c r="P22" s="94">
        <f>H22*((100-$K21)/100)</f>
        <v>203593.04496916011</v>
      </c>
      <c r="Q22" s="94">
        <f>I22*((100-$K21)/100)</f>
        <v>13718.378380552889</v>
      </c>
      <c r="R22" s="95">
        <f>J22*((100-$K21)/100)</f>
        <v>1564017.5905798483</v>
      </c>
    </row>
    <row r="23" spans="2:18" ht="15" hidden="1" customHeight="1" thickBot="1" x14ac:dyDescent="0.35">
      <c r="B23" s="80"/>
      <c r="C23" s="81"/>
      <c r="D23" s="81"/>
      <c r="E23" s="82"/>
      <c r="F23" s="83"/>
      <c r="G23" s="83"/>
      <c r="H23" s="83"/>
      <c r="I23" s="83"/>
      <c r="J23" s="83"/>
      <c r="K23" s="84"/>
      <c r="L23" s="82"/>
      <c r="M23" s="85"/>
      <c r="N23" s="86"/>
      <c r="O23" s="87"/>
      <c r="P23" s="87"/>
      <c r="Q23" s="87"/>
      <c r="R23" s="88"/>
    </row>
    <row r="24" spans="2:18" ht="15.75" hidden="1" customHeight="1" thickBot="1" x14ac:dyDescent="0.35">
      <c r="B24" s="89"/>
      <c r="C24" s="90"/>
      <c r="D24" s="90"/>
      <c r="E24" s="93"/>
      <c r="F24" s="91"/>
      <c r="G24" s="91"/>
      <c r="H24" s="91"/>
      <c r="I24" s="91"/>
      <c r="J24" s="91"/>
      <c r="K24" s="92"/>
      <c r="L24" s="93"/>
      <c r="M24" s="90"/>
      <c r="N24" s="91"/>
      <c r="O24" s="94"/>
      <c r="P24" s="94"/>
      <c r="Q24" s="94"/>
      <c r="R24" s="95"/>
    </row>
    <row r="25" spans="2:18" ht="15" hidden="1" customHeight="1" thickBot="1" x14ac:dyDescent="0.35">
      <c r="B25" s="80"/>
      <c r="C25" s="81"/>
      <c r="D25" s="81"/>
      <c r="E25" s="82"/>
      <c r="F25" s="83"/>
      <c r="G25" s="83"/>
      <c r="H25" s="83"/>
      <c r="I25" s="83"/>
      <c r="J25" s="83"/>
      <c r="K25" s="84"/>
      <c r="L25" s="82"/>
      <c r="M25" s="85"/>
      <c r="N25" s="86"/>
      <c r="O25" s="87"/>
      <c r="P25" s="87"/>
      <c r="Q25" s="87"/>
      <c r="R25" s="88"/>
    </row>
    <row r="26" spans="2:18" ht="15.75" hidden="1" customHeight="1" thickBot="1" x14ac:dyDescent="0.35">
      <c r="B26" s="89"/>
      <c r="C26" s="90"/>
      <c r="D26" s="90"/>
      <c r="E26" s="93"/>
      <c r="F26" s="91"/>
      <c r="G26" s="91"/>
      <c r="H26" s="91"/>
      <c r="I26" s="91"/>
      <c r="J26" s="91"/>
      <c r="K26" s="92"/>
      <c r="L26" s="93"/>
      <c r="M26" s="90"/>
      <c r="N26" s="91"/>
      <c r="O26" s="94"/>
      <c r="P26" s="94"/>
      <c r="Q26" s="94"/>
      <c r="R26" s="95"/>
    </row>
    <row r="27" spans="2:18" ht="15" hidden="1" customHeight="1" thickBot="1" x14ac:dyDescent="0.35">
      <c r="B27" s="80"/>
      <c r="C27" s="81"/>
      <c r="D27" s="81"/>
      <c r="E27" s="82"/>
      <c r="F27" s="83"/>
      <c r="G27" s="83"/>
      <c r="H27" s="83"/>
      <c r="I27" s="83"/>
      <c r="J27" s="83"/>
      <c r="K27" s="84"/>
      <c r="L27" s="82"/>
      <c r="M27" s="85"/>
      <c r="N27" s="86"/>
      <c r="O27" s="87"/>
      <c r="P27" s="87"/>
      <c r="Q27" s="87"/>
      <c r="R27" s="88"/>
    </row>
    <row r="28" spans="2:18" ht="15.75" hidden="1" customHeight="1" thickBot="1" x14ac:dyDescent="0.35">
      <c r="B28" s="89"/>
      <c r="C28" s="90"/>
      <c r="D28" s="90"/>
      <c r="E28" s="93"/>
      <c r="F28" s="91"/>
      <c r="G28" s="91"/>
      <c r="H28" s="91"/>
      <c r="I28" s="91"/>
      <c r="J28" s="91"/>
      <c r="K28" s="92"/>
      <c r="L28" s="93"/>
      <c r="M28" s="90"/>
      <c r="N28" s="91"/>
      <c r="O28" s="94"/>
      <c r="P28" s="94"/>
      <c r="Q28" s="94"/>
      <c r="R28" s="95"/>
    </row>
    <row r="29" spans="2:18" x14ac:dyDescent="0.3">
      <c r="B29" s="138" t="s">
        <v>193</v>
      </c>
      <c r="C29" s="96">
        <f>SUM(C21:C28)</f>
        <v>4357493.9514182322</v>
      </c>
      <c r="D29" s="96">
        <f>SUM(D21:D28)</f>
        <v>16514902.0758751</v>
      </c>
      <c r="E29" s="82">
        <f>E21</f>
        <v>3.79</v>
      </c>
      <c r="F29" s="83">
        <f>F30/D29*100</f>
        <v>2.1399886607712104</v>
      </c>
      <c r="G29" s="83">
        <f>G30/D29*100</f>
        <v>4.3208041866159101</v>
      </c>
      <c r="H29" s="83">
        <f>H30/D29*100</f>
        <v>1.33331586196198</v>
      </c>
      <c r="I29" s="83">
        <f>I30/D29*1000</f>
        <v>0.89840649998422784</v>
      </c>
      <c r="J29" s="83">
        <f>J30/D29*1000</f>
        <v>102.42636049888399</v>
      </c>
      <c r="K29" s="84"/>
      <c r="L29" s="82"/>
      <c r="M29" s="96">
        <f>SUM(M21:M28)</f>
        <v>17377578.763348263</v>
      </c>
      <c r="N29" s="97">
        <f>N30/M29*100</f>
        <v>1.880408036219662</v>
      </c>
      <c r="O29" s="98">
        <f>O30/M29*100</f>
        <v>3.7966906387793995</v>
      </c>
      <c r="P29" s="98">
        <f>P30/M29*100</f>
        <v>1.1715846479059915</v>
      </c>
      <c r="Q29" s="98">
        <f>Q30/M29*1000</f>
        <v>0.7894297915361409</v>
      </c>
      <c r="R29" s="99">
        <f>R30/$M29*1000</f>
        <v>90.002042970369359</v>
      </c>
    </row>
    <row r="30" spans="2:18" ht="15" thickBot="1" x14ac:dyDescent="0.35">
      <c r="B30" s="139"/>
      <c r="C30" s="100"/>
      <c r="D30" s="100" t="s">
        <v>191</v>
      </c>
      <c r="E30" s="100"/>
      <c r="F30" s="91">
        <f>F22+F24+F26+F28</f>
        <v>353417.03176119633</v>
      </c>
      <c r="G30" s="91">
        <f>G22+G24+G26+G28</f>
        <v>713576.58030992909</v>
      </c>
      <c r="H30" s="91">
        <f>H22+H24+H26+H28</f>
        <v>220195.808965131</v>
      </c>
      <c r="I30" s="91">
        <f>I22+I24+I26+I28</f>
        <v>14837.095371569209</v>
      </c>
      <c r="J30" s="91">
        <f>J22+J24+J26+J28</f>
        <v>1691561.3136273506</v>
      </c>
      <c r="K30" s="92"/>
      <c r="L30" s="93"/>
      <c r="M30" s="101"/>
      <c r="N30" s="91">
        <f>N22+N24+N26+N28</f>
        <v>326769.38756640209</v>
      </c>
      <c r="O30" s="91">
        <f>O22+O24+O26+O28</f>
        <v>659772.90615456039</v>
      </c>
      <c r="P30" s="91">
        <f>P22+P24+P26+P28</f>
        <v>203593.04496916011</v>
      </c>
      <c r="Q30" s="91">
        <f>Q22+Q24+Q26+Q28</f>
        <v>13718.378380552889</v>
      </c>
      <c r="R30" s="95">
        <f>R22+R24+R26+R28</f>
        <v>1564017.5905798483</v>
      </c>
    </row>
    <row r="31" spans="2:18" ht="15" thickBot="1" x14ac:dyDescent="0.35">
      <c r="B31" s="135" t="s">
        <v>194</v>
      </c>
      <c r="C31" s="136"/>
      <c r="D31" s="136"/>
      <c r="E31" s="136"/>
      <c r="F31" s="136"/>
      <c r="G31" s="136"/>
      <c r="H31" s="136"/>
      <c r="I31" s="136"/>
      <c r="J31" s="136"/>
      <c r="K31" s="136"/>
      <c r="L31" s="136"/>
      <c r="M31" s="136"/>
      <c r="N31" s="136"/>
      <c r="O31" s="136"/>
      <c r="P31" s="136"/>
      <c r="Q31" s="136"/>
      <c r="R31" s="137"/>
    </row>
    <row r="32" spans="2:18" x14ac:dyDescent="0.3">
      <c r="B32" s="80"/>
      <c r="C32" s="81">
        <f>D32/E32</f>
        <v>4026487.407948575</v>
      </c>
      <c r="D32" s="82">
        <v>15260387.2761251</v>
      </c>
      <c r="E32" s="82">
        <v>3.79</v>
      </c>
      <c r="F32" s="83">
        <v>2.2222738226953198</v>
      </c>
      <c r="G32" s="83">
        <v>4.6357642732305804</v>
      </c>
      <c r="H32" s="83">
        <v>1.4278681983705199</v>
      </c>
      <c r="I32" s="83">
        <v>0.95466971221776997</v>
      </c>
      <c r="J32" s="83">
        <v>109.437359272599</v>
      </c>
      <c r="K32" s="84">
        <v>7.54</v>
      </c>
      <c r="L32" s="82">
        <v>12.13</v>
      </c>
      <c r="M32" s="85">
        <f>D32*((100-K32)/100)/((100-L32)/100)</f>
        <v>16057532.804717498</v>
      </c>
      <c r="N32" s="86">
        <f>N33/$M32*100</f>
        <v>1.9527120080023779</v>
      </c>
      <c r="O32" s="87">
        <f>O33/$M32*100</f>
        <v>4.073446066887711</v>
      </c>
      <c r="P32" s="87">
        <f>P33/$M32*100</f>
        <v>1.2546677859081758</v>
      </c>
      <c r="Q32" s="87">
        <f>Q33/$M32*1000</f>
        <v>0.83886827612575454</v>
      </c>
      <c r="R32" s="88">
        <f>R33/$M32*1000</f>
        <v>96.162607592832757</v>
      </c>
    </row>
    <row r="33" spans="2:18" ht="15" thickBot="1" x14ac:dyDescent="0.35">
      <c r="B33" s="89"/>
      <c r="C33" s="90"/>
      <c r="D33" s="90"/>
      <c r="E33" s="90"/>
      <c r="F33" s="91">
        <f>$D32*F32/100</f>
        <v>339127.59167925542</v>
      </c>
      <c r="G33" s="91">
        <f>$D32*G32/100</f>
        <v>707435.58130323258</v>
      </c>
      <c r="H33" s="91">
        <f>$D32*H32/100</f>
        <v>217898.21686397149</v>
      </c>
      <c r="I33" s="91">
        <f>$D32*I32/1000</f>
        <v>14568.629529230067</v>
      </c>
      <c r="J33" s="91">
        <f>$D32*J32/1000</f>
        <v>1670056.484976301</v>
      </c>
      <c r="K33" s="92"/>
      <c r="L33" s="93"/>
      <c r="M33" s="90"/>
      <c r="N33" s="91">
        <f>F33*((100-$K32)/100)</f>
        <v>313557.37126663956</v>
      </c>
      <c r="O33" s="94">
        <f>G33*((100-$K32)/100)</f>
        <v>654094.93847296888</v>
      </c>
      <c r="P33" s="94">
        <f>H33*((100-$K32)/100)</f>
        <v>201468.69131242804</v>
      </c>
      <c r="Q33" s="94">
        <f>I33*((100-$K32)/100)</f>
        <v>13470.15486272612</v>
      </c>
      <c r="R33" s="95">
        <f>J33*((100-$K32)/100)</f>
        <v>1544134.2260090879</v>
      </c>
    </row>
    <row r="34" spans="2:18" ht="15" hidden="1" customHeight="1" x14ac:dyDescent="0.3">
      <c r="B34" s="80"/>
      <c r="C34" s="81"/>
      <c r="D34" s="81"/>
      <c r="E34" s="82"/>
      <c r="F34" s="83"/>
      <c r="G34" s="83"/>
      <c r="H34" s="83"/>
      <c r="I34" s="83"/>
      <c r="J34" s="83"/>
      <c r="K34" s="84"/>
      <c r="L34" s="82"/>
      <c r="M34" s="85"/>
      <c r="N34" s="86"/>
      <c r="O34" s="87"/>
      <c r="P34" s="87"/>
      <c r="Q34" s="87"/>
      <c r="R34" s="88"/>
    </row>
    <row r="35" spans="2:18" ht="15.75" hidden="1" customHeight="1" x14ac:dyDescent="0.3">
      <c r="B35" s="89"/>
      <c r="C35" s="90"/>
      <c r="D35" s="90"/>
      <c r="E35" s="93"/>
      <c r="F35" s="91"/>
      <c r="G35" s="91"/>
      <c r="H35" s="91"/>
      <c r="I35" s="91"/>
      <c r="J35" s="91"/>
      <c r="K35" s="92"/>
      <c r="L35" s="93"/>
      <c r="M35" s="90"/>
      <c r="N35" s="91"/>
      <c r="O35" s="94"/>
      <c r="P35" s="94"/>
      <c r="Q35" s="94"/>
      <c r="R35" s="95"/>
    </row>
    <row r="36" spans="2:18" ht="15" hidden="1" customHeight="1" x14ac:dyDescent="0.3">
      <c r="B36" s="80"/>
      <c r="C36" s="81"/>
      <c r="D36" s="81"/>
      <c r="E36" s="82"/>
      <c r="F36" s="83"/>
      <c r="G36" s="83"/>
      <c r="H36" s="83"/>
      <c r="I36" s="83"/>
      <c r="J36" s="83"/>
      <c r="K36" s="84"/>
      <c r="L36" s="82"/>
      <c r="M36" s="85"/>
      <c r="N36" s="86"/>
      <c r="O36" s="87"/>
      <c r="P36" s="87"/>
      <c r="Q36" s="87"/>
      <c r="R36" s="88"/>
    </row>
    <row r="37" spans="2:18" ht="15.75" hidden="1" customHeight="1" x14ac:dyDescent="0.3">
      <c r="B37" s="89"/>
      <c r="C37" s="90"/>
      <c r="D37" s="90"/>
      <c r="E37" s="93"/>
      <c r="F37" s="91"/>
      <c r="G37" s="91"/>
      <c r="H37" s="91"/>
      <c r="I37" s="91"/>
      <c r="J37" s="91"/>
      <c r="K37" s="92"/>
      <c r="L37" s="93"/>
      <c r="M37" s="90"/>
      <c r="N37" s="91"/>
      <c r="O37" s="94"/>
      <c r="P37" s="94"/>
      <c r="Q37" s="94"/>
      <c r="R37" s="95"/>
    </row>
    <row r="38" spans="2:18" ht="15" hidden="1" customHeight="1" x14ac:dyDescent="0.3">
      <c r="B38" s="80"/>
      <c r="C38" s="81"/>
      <c r="D38" s="81"/>
      <c r="E38" s="82"/>
      <c r="F38" s="83"/>
      <c r="G38" s="83"/>
      <c r="H38" s="83"/>
      <c r="I38" s="83"/>
      <c r="J38" s="83"/>
      <c r="K38" s="84"/>
      <c r="L38" s="82"/>
      <c r="M38" s="85"/>
      <c r="N38" s="86"/>
      <c r="O38" s="87"/>
      <c r="P38" s="87"/>
      <c r="Q38" s="87"/>
      <c r="R38" s="88"/>
    </row>
    <row r="39" spans="2:18" ht="15.75" hidden="1" customHeight="1" x14ac:dyDescent="0.3">
      <c r="B39" s="89"/>
      <c r="C39" s="90"/>
      <c r="D39" s="90"/>
      <c r="E39" s="93"/>
      <c r="F39" s="91"/>
      <c r="G39" s="91"/>
      <c r="H39" s="91"/>
      <c r="I39" s="91"/>
      <c r="J39" s="91"/>
      <c r="K39" s="92"/>
      <c r="L39" s="93"/>
      <c r="M39" s="90"/>
      <c r="N39" s="91"/>
      <c r="O39" s="94"/>
      <c r="P39" s="94"/>
      <c r="Q39" s="94"/>
      <c r="R39" s="95"/>
    </row>
    <row r="40" spans="2:18" x14ac:dyDescent="0.3">
      <c r="B40" s="138" t="s">
        <v>195</v>
      </c>
      <c r="C40" s="96">
        <f>SUM(C32:C39)</f>
        <v>4026487.407948575</v>
      </c>
      <c r="D40" s="96">
        <f>SUM(D32:D39)</f>
        <v>15260387.2761251</v>
      </c>
      <c r="E40" s="82">
        <f>E32</f>
        <v>3.79</v>
      </c>
      <c r="F40" s="83">
        <f>F41/D40*100</f>
        <v>2.2222738226953198</v>
      </c>
      <c r="G40" s="83">
        <f>G41/D40*100</f>
        <v>4.6357642732305795</v>
      </c>
      <c r="H40" s="83">
        <f>H41/D40*100</f>
        <v>1.4278681983705199</v>
      </c>
      <c r="I40" s="83">
        <f>I41/D40*1000</f>
        <v>0.95466971221776997</v>
      </c>
      <c r="J40" s="83">
        <f>J41/D40*1000</f>
        <v>109.437359272599</v>
      </c>
      <c r="K40" s="84"/>
      <c r="L40" s="82"/>
      <c r="M40" s="96">
        <f>SUM(M32:M39)</f>
        <v>16057532.804717498</v>
      </c>
      <c r="N40" s="97">
        <f>N41/M40*100</f>
        <v>1.9527120080023779</v>
      </c>
      <c r="O40" s="98">
        <f>O41/M40*100</f>
        <v>4.073446066887711</v>
      </c>
      <c r="P40" s="98">
        <f>P41/M40*100</f>
        <v>1.2546677859081758</v>
      </c>
      <c r="Q40" s="98">
        <f>Q41/M40*1000</f>
        <v>0.83886827612575454</v>
      </c>
      <c r="R40" s="99">
        <f>R41/$M40*1000</f>
        <v>96.162607592832757</v>
      </c>
    </row>
    <row r="41" spans="2:18" ht="15" thickBot="1" x14ac:dyDescent="0.35">
      <c r="B41" s="139"/>
      <c r="C41" s="100"/>
      <c r="D41" s="100" t="s">
        <v>191</v>
      </c>
      <c r="E41" s="100"/>
      <c r="F41" s="91">
        <f>F33+F35+F37+F39</f>
        <v>339127.59167925542</v>
      </c>
      <c r="G41" s="91">
        <f>G33+G35+G37+G39</f>
        <v>707435.58130323258</v>
      </c>
      <c r="H41" s="91">
        <f>H33+H35+H37+H39</f>
        <v>217898.21686397149</v>
      </c>
      <c r="I41" s="91">
        <f>I33+I35+I37+I39</f>
        <v>14568.629529230067</v>
      </c>
      <c r="J41" s="91">
        <f>J33+J35+J37+J39</f>
        <v>1670056.484976301</v>
      </c>
      <c r="K41" s="92"/>
      <c r="L41" s="93"/>
      <c r="M41" s="101"/>
      <c r="N41" s="91">
        <f>N33+N35+N37+N39</f>
        <v>313557.37126663956</v>
      </c>
      <c r="O41" s="91">
        <f>O33+O35+O37+O39</f>
        <v>654094.93847296888</v>
      </c>
      <c r="P41" s="91">
        <f>P33+P35+P37+P39</f>
        <v>201468.69131242804</v>
      </c>
      <c r="Q41" s="91">
        <f>Q33+Q35+Q37+Q39</f>
        <v>13470.15486272612</v>
      </c>
      <c r="R41" s="95">
        <f>R33+R35+R37+R39</f>
        <v>1544134.2260090879</v>
      </c>
    </row>
    <row r="42" spans="2:18" ht="15.75" hidden="1" customHeight="1" x14ac:dyDescent="0.3">
      <c r="B42" s="135"/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  <c r="Q42" s="136"/>
      <c r="R42" s="137"/>
    </row>
    <row r="43" spans="2:18" ht="15" hidden="1" customHeight="1" x14ac:dyDescent="0.3">
      <c r="B43" s="80"/>
      <c r="C43" s="81"/>
      <c r="D43" s="82"/>
      <c r="E43" s="82"/>
      <c r="F43" s="83"/>
      <c r="G43" s="83"/>
      <c r="H43" s="83"/>
      <c r="I43" s="83"/>
      <c r="J43" s="83"/>
      <c r="K43" s="84"/>
      <c r="L43" s="82"/>
      <c r="M43" s="85"/>
      <c r="N43" s="86"/>
      <c r="O43" s="87"/>
      <c r="P43" s="87"/>
      <c r="Q43" s="87"/>
      <c r="R43" s="88"/>
    </row>
    <row r="44" spans="2:18" ht="15.75" hidden="1" customHeight="1" x14ac:dyDescent="0.3">
      <c r="B44" s="89"/>
      <c r="C44" s="90"/>
      <c r="D44" s="90"/>
      <c r="E44" s="90"/>
      <c r="F44" s="91"/>
      <c r="G44" s="91"/>
      <c r="H44" s="91"/>
      <c r="I44" s="91"/>
      <c r="J44" s="91"/>
      <c r="K44" s="92"/>
      <c r="L44" s="93"/>
      <c r="M44" s="90"/>
      <c r="N44" s="91"/>
      <c r="O44" s="94"/>
      <c r="P44" s="94"/>
      <c r="Q44" s="94"/>
      <c r="R44" s="95"/>
    </row>
    <row r="45" spans="2:18" ht="15" hidden="1" customHeight="1" x14ac:dyDescent="0.3">
      <c r="B45" s="80"/>
      <c r="C45" s="81"/>
      <c r="D45" s="82"/>
      <c r="E45" s="82"/>
      <c r="F45" s="83"/>
      <c r="G45" s="83"/>
      <c r="H45" s="83"/>
      <c r="I45" s="83"/>
      <c r="J45" s="83"/>
      <c r="K45" s="84"/>
      <c r="L45" s="82"/>
      <c r="M45" s="85"/>
      <c r="N45" s="86"/>
      <c r="O45" s="87"/>
      <c r="P45" s="87"/>
      <c r="Q45" s="87"/>
      <c r="R45" s="88"/>
    </row>
    <row r="46" spans="2:18" ht="15.75" hidden="1" customHeight="1" x14ac:dyDescent="0.3">
      <c r="B46" s="89"/>
      <c r="C46" s="90"/>
      <c r="D46" s="90"/>
      <c r="E46" s="90"/>
      <c r="F46" s="91"/>
      <c r="G46" s="91"/>
      <c r="H46" s="91"/>
      <c r="I46" s="91"/>
      <c r="J46" s="91"/>
      <c r="K46" s="92"/>
      <c r="L46" s="93"/>
      <c r="M46" s="90"/>
      <c r="N46" s="91"/>
      <c r="O46" s="94"/>
      <c r="P46" s="94"/>
      <c r="Q46" s="94"/>
      <c r="R46" s="95"/>
    </row>
    <row r="47" spans="2:18" ht="15" hidden="1" customHeight="1" x14ac:dyDescent="0.3">
      <c r="B47" s="80"/>
      <c r="C47" s="81"/>
      <c r="D47" s="82"/>
      <c r="E47" s="82"/>
      <c r="F47" s="83"/>
      <c r="G47" s="83"/>
      <c r="H47" s="83"/>
      <c r="I47" s="83"/>
      <c r="J47" s="83"/>
      <c r="K47" s="84"/>
      <c r="L47" s="82"/>
      <c r="M47" s="85"/>
      <c r="N47" s="86"/>
      <c r="O47" s="87"/>
      <c r="P47" s="87"/>
      <c r="Q47" s="87"/>
      <c r="R47" s="88"/>
    </row>
    <row r="48" spans="2:18" ht="15.75" hidden="1" customHeight="1" x14ac:dyDescent="0.3">
      <c r="B48" s="89"/>
      <c r="C48" s="90"/>
      <c r="D48" s="90"/>
      <c r="E48" s="90"/>
      <c r="F48" s="91"/>
      <c r="G48" s="91"/>
      <c r="H48" s="91"/>
      <c r="I48" s="91"/>
      <c r="J48" s="91"/>
      <c r="K48" s="92"/>
      <c r="L48" s="93"/>
      <c r="M48" s="90"/>
      <c r="N48" s="91"/>
      <c r="O48" s="94"/>
      <c r="P48" s="94"/>
      <c r="Q48" s="94"/>
      <c r="R48" s="95"/>
    </row>
    <row r="49" spans="2:18" ht="15" hidden="1" customHeight="1" x14ac:dyDescent="0.3">
      <c r="B49" s="80"/>
      <c r="C49" s="81"/>
      <c r="D49" s="82"/>
      <c r="E49" s="82"/>
      <c r="F49" s="83"/>
      <c r="G49" s="83"/>
      <c r="H49" s="83"/>
      <c r="I49" s="83"/>
      <c r="J49" s="83"/>
      <c r="K49" s="84"/>
      <c r="L49" s="82"/>
      <c r="M49" s="85"/>
      <c r="N49" s="86"/>
      <c r="O49" s="87"/>
      <c r="P49" s="87"/>
      <c r="Q49" s="87"/>
      <c r="R49" s="88"/>
    </row>
    <row r="50" spans="2:18" ht="15.75" hidden="1" customHeight="1" x14ac:dyDescent="0.3">
      <c r="B50" s="89"/>
      <c r="C50" s="90"/>
      <c r="D50" s="90"/>
      <c r="E50" s="93"/>
      <c r="F50" s="91"/>
      <c r="G50" s="91"/>
      <c r="H50" s="91"/>
      <c r="I50" s="91"/>
      <c r="J50" s="91"/>
      <c r="K50" s="92"/>
      <c r="L50" s="93"/>
      <c r="M50" s="90"/>
      <c r="N50" s="91"/>
      <c r="O50" s="94"/>
      <c r="P50" s="94"/>
      <c r="Q50" s="94"/>
      <c r="R50" s="95"/>
    </row>
    <row r="51" spans="2:18" ht="15" hidden="1" customHeight="1" x14ac:dyDescent="0.3">
      <c r="B51" s="138"/>
      <c r="C51" s="96"/>
      <c r="D51" s="96"/>
      <c r="E51" s="82"/>
      <c r="F51" s="83"/>
      <c r="G51" s="83"/>
      <c r="H51" s="83"/>
      <c r="I51" s="83"/>
      <c r="J51" s="83"/>
      <c r="K51" s="84"/>
      <c r="L51" s="82"/>
      <c r="M51" s="96"/>
      <c r="N51" s="97"/>
      <c r="O51" s="98"/>
      <c r="P51" s="98"/>
      <c r="Q51" s="98"/>
      <c r="R51" s="99"/>
    </row>
    <row r="52" spans="2:18" ht="15.75" hidden="1" customHeight="1" x14ac:dyDescent="0.3">
      <c r="B52" s="139"/>
      <c r="C52" s="100"/>
      <c r="D52" s="100"/>
      <c r="E52" s="100"/>
      <c r="F52" s="91"/>
      <c r="G52" s="91"/>
      <c r="H52" s="91"/>
      <c r="I52" s="91"/>
      <c r="J52" s="91"/>
      <c r="K52" s="92"/>
      <c r="L52" s="93"/>
      <c r="M52" s="101"/>
      <c r="N52" s="91"/>
      <c r="O52" s="91"/>
      <c r="P52" s="91"/>
      <c r="Q52" s="91"/>
      <c r="R52" s="95"/>
    </row>
    <row r="53" spans="2:18" ht="15.75" hidden="1" customHeight="1" x14ac:dyDescent="0.3">
      <c r="B53" s="135"/>
      <c r="C53" s="136"/>
      <c r="D53" s="136"/>
      <c r="E53" s="136"/>
      <c r="F53" s="136"/>
      <c r="G53" s="136"/>
      <c r="H53" s="136"/>
      <c r="I53" s="136"/>
      <c r="J53" s="136"/>
      <c r="K53" s="136"/>
      <c r="L53" s="136"/>
      <c r="M53" s="136"/>
      <c r="N53" s="136"/>
      <c r="O53" s="136"/>
      <c r="P53" s="136"/>
      <c r="Q53" s="136"/>
      <c r="R53" s="137"/>
    </row>
    <row r="54" spans="2:18" ht="15" hidden="1" customHeight="1" x14ac:dyDescent="0.3">
      <c r="B54" s="80"/>
      <c r="C54" s="81"/>
      <c r="D54" s="81"/>
      <c r="E54" s="82"/>
      <c r="F54" s="83"/>
      <c r="G54" s="83"/>
      <c r="H54" s="83"/>
      <c r="I54" s="83"/>
      <c r="J54" s="83"/>
      <c r="K54" s="84"/>
      <c r="L54" s="82"/>
      <c r="M54" s="85"/>
      <c r="N54" s="86"/>
      <c r="O54" s="87"/>
      <c r="P54" s="87"/>
      <c r="Q54" s="87"/>
      <c r="R54" s="88"/>
    </row>
    <row r="55" spans="2:18" ht="15.75" hidden="1" customHeight="1" x14ac:dyDescent="0.3">
      <c r="B55" s="89"/>
      <c r="C55" s="90"/>
      <c r="D55" s="90"/>
      <c r="E55" s="93"/>
      <c r="F55" s="91"/>
      <c r="G55" s="91"/>
      <c r="H55" s="91"/>
      <c r="I55" s="91"/>
      <c r="J55" s="91"/>
      <c r="K55" s="92"/>
      <c r="L55" s="93"/>
      <c r="M55" s="90"/>
      <c r="N55" s="91"/>
      <c r="O55" s="94"/>
      <c r="P55" s="94"/>
      <c r="Q55" s="94"/>
      <c r="R55" s="95"/>
    </row>
    <row r="56" spans="2:18" ht="15" hidden="1" customHeight="1" x14ac:dyDescent="0.3">
      <c r="B56" s="80"/>
      <c r="C56" s="81"/>
      <c r="D56" s="81"/>
      <c r="E56" s="82"/>
      <c r="F56" s="83"/>
      <c r="G56" s="83"/>
      <c r="H56" s="83"/>
      <c r="I56" s="83"/>
      <c r="J56" s="83"/>
      <c r="K56" s="84"/>
      <c r="L56" s="82"/>
      <c r="M56" s="85"/>
      <c r="N56" s="86"/>
      <c r="O56" s="87"/>
      <c r="P56" s="87"/>
      <c r="Q56" s="87"/>
      <c r="R56" s="88"/>
    </row>
    <row r="57" spans="2:18" ht="15.75" hidden="1" customHeight="1" x14ac:dyDescent="0.3">
      <c r="B57" s="89"/>
      <c r="C57" s="90"/>
      <c r="D57" s="90"/>
      <c r="E57" s="93"/>
      <c r="F57" s="91"/>
      <c r="G57" s="91"/>
      <c r="H57" s="91"/>
      <c r="I57" s="91"/>
      <c r="J57" s="91"/>
      <c r="K57" s="92"/>
      <c r="L57" s="93"/>
      <c r="M57" s="90"/>
      <c r="N57" s="91"/>
      <c r="O57" s="94"/>
      <c r="P57" s="94"/>
      <c r="Q57" s="94"/>
      <c r="R57" s="95"/>
    </row>
    <row r="58" spans="2:18" ht="15" hidden="1" customHeight="1" x14ac:dyDescent="0.3">
      <c r="B58" s="80"/>
      <c r="C58" s="81"/>
      <c r="D58" s="81"/>
      <c r="E58" s="82"/>
      <c r="F58" s="83"/>
      <c r="G58" s="83"/>
      <c r="H58" s="83"/>
      <c r="I58" s="83"/>
      <c r="J58" s="83"/>
      <c r="K58" s="84"/>
      <c r="L58" s="82"/>
      <c r="M58" s="85"/>
      <c r="N58" s="86"/>
      <c r="O58" s="87"/>
      <c r="P58" s="87"/>
      <c r="Q58" s="87"/>
      <c r="R58" s="88"/>
    </row>
    <row r="59" spans="2:18" ht="15.75" hidden="1" customHeight="1" x14ac:dyDescent="0.3">
      <c r="B59" s="89"/>
      <c r="C59" s="90"/>
      <c r="D59" s="90"/>
      <c r="E59" s="93"/>
      <c r="F59" s="91"/>
      <c r="G59" s="91"/>
      <c r="H59" s="91"/>
      <c r="I59" s="91"/>
      <c r="J59" s="91"/>
      <c r="K59" s="92"/>
      <c r="L59" s="93"/>
      <c r="M59" s="90"/>
      <c r="N59" s="91"/>
      <c r="O59" s="94"/>
      <c r="P59" s="94"/>
      <c r="Q59" s="94"/>
      <c r="R59" s="95"/>
    </row>
    <row r="60" spans="2:18" ht="15" hidden="1" customHeight="1" x14ac:dyDescent="0.3">
      <c r="B60" s="138"/>
      <c r="C60" s="96"/>
      <c r="D60" s="96"/>
      <c r="E60" s="82"/>
      <c r="F60" s="83"/>
      <c r="G60" s="83"/>
      <c r="H60" s="83"/>
      <c r="I60" s="83"/>
      <c r="J60" s="83"/>
      <c r="K60" s="84"/>
      <c r="L60" s="82"/>
      <c r="M60" s="96"/>
      <c r="N60" s="97"/>
      <c r="O60" s="98"/>
      <c r="P60" s="98"/>
      <c r="Q60" s="98"/>
      <c r="R60" s="99"/>
    </row>
    <row r="61" spans="2:18" ht="15.75" hidden="1" customHeight="1" x14ac:dyDescent="0.3">
      <c r="B61" s="139"/>
      <c r="C61" s="100"/>
      <c r="D61" s="100"/>
      <c r="E61" s="100"/>
      <c r="F61" s="91"/>
      <c r="G61" s="91"/>
      <c r="H61" s="91"/>
      <c r="I61" s="91"/>
      <c r="J61" s="91"/>
      <c r="K61" s="102"/>
      <c r="L61" s="100"/>
      <c r="M61" s="101"/>
      <c r="N61" s="91"/>
      <c r="O61" s="91"/>
      <c r="P61" s="91"/>
      <c r="Q61" s="91"/>
      <c r="R61" s="91"/>
    </row>
    <row r="62" spans="2:18" ht="15.75" hidden="1" customHeight="1" x14ac:dyDescent="0.3">
      <c r="B62" s="135"/>
      <c r="C62" s="136"/>
      <c r="D62" s="136"/>
      <c r="E62" s="136"/>
      <c r="F62" s="136"/>
      <c r="G62" s="136"/>
      <c r="H62" s="136"/>
      <c r="I62" s="136"/>
      <c r="J62" s="136"/>
      <c r="K62" s="136"/>
      <c r="L62" s="136"/>
      <c r="M62" s="136"/>
      <c r="N62" s="136"/>
      <c r="O62" s="136"/>
      <c r="P62" s="136"/>
      <c r="Q62" s="136"/>
      <c r="R62" s="137"/>
    </row>
    <row r="63" spans="2:18" ht="15" hidden="1" customHeight="1" x14ac:dyDescent="0.3">
      <c r="B63" s="80"/>
      <c r="C63" s="81"/>
      <c r="D63" s="81"/>
      <c r="E63" s="82"/>
      <c r="F63" s="83"/>
      <c r="G63" s="83"/>
      <c r="H63" s="83"/>
      <c r="I63" s="83"/>
      <c r="J63" s="83"/>
      <c r="K63" s="84"/>
      <c r="L63" s="82"/>
      <c r="M63" s="85"/>
      <c r="N63" s="86"/>
      <c r="O63" s="87"/>
      <c r="P63" s="87"/>
      <c r="Q63" s="87"/>
      <c r="R63" s="88"/>
    </row>
    <row r="64" spans="2:18" ht="15.75" hidden="1" customHeight="1" x14ac:dyDescent="0.3">
      <c r="B64" s="89"/>
      <c r="C64" s="90"/>
      <c r="D64" s="90"/>
      <c r="E64" s="93"/>
      <c r="F64" s="91"/>
      <c r="G64" s="91"/>
      <c r="H64" s="91"/>
      <c r="I64" s="91"/>
      <c r="J64" s="91"/>
      <c r="K64" s="92"/>
      <c r="L64" s="93"/>
      <c r="M64" s="90"/>
      <c r="N64" s="91"/>
      <c r="O64" s="94"/>
      <c r="P64" s="94"/>
      <c r="Q64" s="94"/>
      <c r="R64" s="95"/>
    </row>
    <row r="65" spans="2:21" ht="15" hidden="1" customHeight="1" x14ac:dyDescent="0.3">
      <c r="B65" s="80"/>
      <c r="C65" s="81"/>
      <c r="D65" s="81"/>
      <c r="E65" s="82"/>
      <c r="F65" s="83"/>
      <c r="G65" s="83"/>
      <c r="H65" s="83"/>
      <c r="I65" s="83"/>
      <c r="J65" s="83"/>
      <c r="K65" s="84"/>
      <c r="L65" s="82"/>
      <c r="M65" s="85"/>
      <c r="N65" s="86"/>
      <c r="O65" s="87"/>
      <c r="P65" s="87"/>
      <c r="Q65" s="87"/>
      <c r="R65" s="88"/>
    </row>
    <row r="66" spans="2:21" ht="15.75" hidden="1" customHeight="1" x14ac:dyDescent="0.3">
      <c r="B66" s="89"/>
      <c r="C66" s="90"/>
      <c r="D66" s="90"/>
      <c r="E66" s="93"/>
      <c r="F66" s="91"/>
      <c r="G66" s="91"/>
      <c r="H66" s="91"/>
      <c r="I66" s="91"/>
      <c r="J66" s="91"/>
      <c r="K66" s="92"/>
      <c r="L66" s="93"/>
      <c r="M66" s="90"/>
      <c r="N66" s="91"/>
      <c r="O66" s="94"/>
      <c r="P66" s="94"/>
      <c r="Q66" s="94"/>
      <c r="R66" s="95"/>
    </row>
    <row r="67" spans="2:21" ht="15" hidden="1" customHeight="1" x14ac:dyDescent="0.3">
      <c r="B67" s="80"/>
      <c r="C67" s="81"/>
      <c r="D67" s="81"/>
      <c r="E67" s="82"/>
      <c r="F67" s="83"/>
      <c r="G67" s="83"/>
      <c r="H67" s="83"/>
      <c r="I67" s="83"/>
      <c r="J67" s="83"/>
      <c r="K67" s="84"/>
      <c r="L67" s="82"/>
      <c r="M67" s="85"/>
      <c r="N67" s="86"/>
      <c r="O67" s="87"/>
      <c r="P67" s="87"/>
      <c r="Q67" s="87"/>
      <c r="R67" s="88"/>
    </row>
    <row r="68" spans="2:21" ht="15.75" hidden="1" customHeight="1" x14ac:dyDescent="0.3">
      <c r="B68" s="89"/>
      <c r="C68" s="90"/>
      <c r="D68" s="90"/>
      <c r="E68" s="93"/>
      <c r="F68" s="91"/>
      <c r="G68" s="91"/>
      <c r="H68" s="91"/>
      <c r="I68" s="91"/>
      <c r="J68" s="91"/>
      <c r="K68" s="92"/>
      <c r="L68" s="93"/>
      <c r="M68" s="90"/>
      <c r="N68" s="91"/>
      <c r="O68" s="94"/>
      <c r="P68" s="94"/>
      <c r="Q68" s="94"/>
      <c r="R68" s="95"/>
    </row>
    <row r="69" spans="2:21" ht="15" hidden="1" customHeight="1" x14ac:dyDescent="0.3">
      <c r="B69" s="80"/>
      <c r="C69" s="81"/>
      <c r="D69" s="81"/>
      <c r="E69" s="82"/>
      <c r="F69" s="83"/>
      <c r="G69" s="83"/>
      <c r="H69" s="83"/>
      <c r="I69" s="83"/>
      <c r="J69" s="83"/>
      <c r="K69" s="84"/>
      <c r="L69" s="82"/>
      <c r="M69" s="85"/>
      <c r="N69" s="86"/>
      <c r="O69" s="87"/>
      <c r="P69" s="87"/>
      <c r="Q69" s="87"/>
      <c r="R69" s="88"/>
    </row>
    <row r="70" spans="2:21" ht="15" hidden="1" thickBot="1" x14ac:dyDescent="0.35">
      <c r="B70" s="89"/>
      <c r="C70" s="90"/>
      <c r="D70" s="90"/>
      <c r="E70" s="93"/>
      <c r="F70" s="91"/>
      <c r="G70" s="91"/>
      <c r="H70" s="91"/>
      <c r="I70" s="91"/>
      <c r="J70" s="91"/>
      <c r="K70" s="92"/>
      <c r="L70" s="93"/>
      <c r="M70" s="90"/>
      <c r="N70" s="91"/>
      <c r="O70" s="94"/>
      <c r="P70" s="94"/>
      <c r="Q70" s="94"/>
      <c r="R70" s="95"/>
    </row>
    <row r="71" spans="2:21" ht="15" hidden="1" thickBot="1" x14ac:dyDescent="0.35">
      <c r="B71" s="138"/>
      <c r="C71" s="96"/>
      <c r="D71" s="96"/>
      <c r="E71" s="82"/>
      <c r="F71" s="83"/>
      <c r="G71" s="83"/>
      <c r="H71" s="83"/>
      <c r="I71" s="83"/>
      <c r="J71" s="83"/>
      <c r="K71" s="84"/>
      <c r="L71" s="82"/>
      <c r="M71" s="96"/>
      <c r="N71" s="97"/>
      <c r="O71" s="98"/>
      <c r="P71" s="98"/>
      <c r="Q71" s="98"/>
      <c r="R71" s="99"/>
    </row>
    <row r="72" spans="2:21" ht="15" hidden="1" thickBot="1" x14ac:dyDescent="0.35">
      <c r="B72" s="139"/>
      <c r="C72" s="100"/>
      <c r="D72" s="100"/>
      <c r="E72" s="100"/>
      <c r="F72" s="91"/>
      <c r="G72" s="91"/>
      <c r="H72" s="91"/>
      <c r="I72" s="91"/>
      <c r="J72" s="91"/>
      <c r="K72" s="102"/>
      <c r="L72" s="100"/>
      <c r="M72" s="101"/>
      <c r="N72" s="91"/>
      <c r="O72" s="91"/>
      <c r="P72" s="91"/>
      <c r="Q72" s="91"/>
      <c r="R72" s="91"/>
    </row>
    <row r="73" spans="2:21" ht="15" hidden="1" thickBot="1" x14ac:dyDescent="0.35">
      <c r="B73" s="138"/>
      <c r="C73" s="96"/>
      <c r="D73" s="96"/>
      <c r="E73" s="82"/>
      <c r="F73" s="83"/>
      <c r="G73" s="83"/>
      <c r="H73" s="83"/>
      <c r="I73" s="83"/>
      <c r="J73" s="83"/>
      <c r="K73" s="84"/>
      <c r="L73" s="82"/>
      <c r="M73" s="96"/>
      <c r="N73" s="97"/>
      <c r="O73" s="98"/>
      <c r="P73" s="98"/>
      <c r="Q73" s="98"/>
      <c r="R73" s="99"/>
    </row>
    <row r="74" spans="2:21" ht="15" hidden="1" thickBot="1" x14ac:dyDescent="0.35">
      <c r="B74" s="139"/>
      <c r="C74" s="100"/>
      <c r="D74" s="100"/>
      <c r="E74" s="100"/>
      <c r="F74" s="91"/>
      <c r="G74" s="91"/>
      <c r="H74" s="91"/>
      <c r="I74" s="91"/>
      <c r="J74" s="91"/>
      <c r="K74" s="102"/>
      <c r="L74" s="100"/>
      <c r="M74" s="101"/>
      <c r="N74" s="91"/>
      <c r="O74" s="91"/>
      <c r="P74" s="91"/>
      <c r="Q74" s="91"/>
      <c r="R74" s="91"/>
    </row>
    <row r="75" spans="2:21" ht="15" hidden="1" thickBot="1" x14ac:dyDescent="0.35">
      <c r="B75" s="138" t="s">
        <v>196</v>
      </c>
      <c r="C75" s="96">
        <f>C18+C29+C40+C51+C60+C71+C73</f>
        <v>13061925.528199289</v>
      </c>
      <c r="D75" s="96">
        <f>D18+D29+D40+D51+D60+D71+D73</f>
        <v>49504697.751875296</v>
      </c>
      <c r="E75" s="83">
        <f>D75/C75</f>
        <v>3.7899999999999991</v>
      </c>
      <c r="F75" s="97">
        <f>F76/D75*100</f>
        <v>2.1327275293052823</v>
      </c>
      <c r="G75" s="97">
        <f>G76/D75*100</f>
        <v>4.3182139189195912</v>
      </c>
      <c r="H75" s="97">
        <f>H76/D75*100</f>
        <v>1.332147096034509</v>
      </c>
      <c r="I75" s="97">
        <f>I76/D75*1000</f>
        <v>0.89726463071828644</v>
      </c>
      <c r="J75" s="97">
        <f>J76/D75*1000</f>
        <v>102.30804223189472</v>
      </c>
      <c r="K75" s="84"/>
      <c r="L75" s="82"/>
      <c r="M75" s="96">
        <f>M18+M29+M40+M51+M60+M71+M73</f>
        <v>52090637.921228975</v>
      </c>
      <c r="N75" s="97">
        <f>N76/M75*100</f>
        <v>1.8740276800005518</v>
      </c>
      <c r="O75" s="98">
        <f>O76/M75*100</f>
        <v>3.7944145705546433</v>
      </c>
      <c r="P75" s="98">
        <f>P76/M75*100</f>
        <v>1.1705576532855231</v>
      </c>
      <c r="Q75" s="98">
        <f>Q76/M75*1000</f>
        <v>0.78842643101215826</v>
      </c>
      <c r="R75" s="99">
        <f>R76/$M75*1000</f>
        <v>89.898076709165878</v>
      </c>
    </row>
    <row r="76" spans="2:21" ht="15" hidden="1" thickBot="1" x14ac:dyDescent="0.35">
      <c r="B76" s="139"/>
      <c r="C76" s="100"/>
      <c r="D76" s="100" t="s">
        <v>191</v>
      </c>
      <c r="E76" s="100"/>
      <c r="F76" s="103">
        <f>F19+F30+F41+F52+F61+F72+F74</f>
        <v>1055800.3172536178</v>
      </c>
      <c r="G76" s="103">
        <f>G19+G30+G41+G52+G61+G72+G74</f>
        <v>2137718.7488405528</v>
      </c>
      <c r="H76" s="103">
        <f>H19+H30+H41+H52+H61+H72+H74</f>
        <v>659475.39350226766</v>
      </c>
      <c r="I76" s="103">
        <f>I19+I30+I41+I52+I61+I72+I74</f>
        <v>44418.814347156775</v>
      </c>
      <c r="J76" s="103">
        <f>J19+J30+J41+J52+J61+J72+J74</f>
        <v>5064728.7082760409</v>
      </c>
      <c r="K76" s="92"/>
      <c r="L76" s="93"/>
      <c r="M76" s="101"/>
      <c r="N76" s="103">
        <f>N19+N30+N41+N52+N61+N72+N74</f>
        <v>976192.97333269496</v>
      </c>
      <c r="O76" s="103">
        <f>O19+O30+O41+O52+O61+O72+O74</f>
        <v>1976534.7551779747</v>
      </c>
      <c r="P76" s="103">
        <f>P19+P30+P41+P52+P61+P72+P74</f>
        <v>609750.94883219665</v>
      </c>
      <c r="Q76" s="103">
        <f>Q19+Q30+Q41+Q52+Q61+Q72+Q74</f>
        <v>41069.635745381151</v>
      </c>
      <c r="R76" s="103">
        <f>R19+R30+R41+R52+R61+R72+R74</f>
        <v>4682848.1636720272</v>
      </c>
    </row>
    <row r="77" spans="2:21" x14ac:dyDescent="0.3">
      <c r="M77" s="104"/>
      <c r="N77" s="104"/>
      <c r="O77" s="104"/>
      <c r="P77" s="104"/>
      <c r="Q77" s="105"/>
      <c r="R77" s="105"/>
    </row>
    <row r="78" spans="2:21" x14ac:dyDescent="0.3">
      <c r="M78" s="106"/>
      <c r="N78" s="107"/>
      <c r="O78" s="107"/>
      <c r="P78" s="107"/>
      <c r="Q78" s="107"/>
      <c r="R78" s="108"/>
      <c r="S78" s="109"/>
      <c r="T78" s="109"/>
      <c r="U78" s="109"/>
    </row>
    <row r="79" spans="2:21" x14ac:dyDescent="0.3">
      <c r="B79" s="110"/>
      <c r="C79" s="110"/>
      <c r="D79" s="110"/>
      <c r="E79" s="110"/>
      <c r="F79" s="110"/>
      <c r="G79" s="110"/>
      <c r="H79" s="110"/>
      <c r="I79" s="110"/>
      <c r="J79" s="110"/>
      <c r="K79" s="110"/>
      <c r="L79" s="110"/>
      <c r="M79" s="111"/>
      <c r="N79" s="112"/>
      <c r="O79" s="112"/>
      <c r="P79" s="112"/>
      <c r="Q79" s="113"/>
      <c r="R79" s="113"/>
      <c r="S79" s="109"/>
      <c r="T79" s="109"/>
      <c r="U79" s="109"/>
    </row>
    <row r="80" spans="2:21" x14ac:dyDescent="0.3">
      <c r="B80" s="110"/>
      <c r="C80" s="110"/>
      <c r="D80" s="110"/>
      <c r="E80" s="110"/>
      <c r="F80" s="110"/>
      <c r="G80" s="110"/>
      <c r="H80" s="110"/>
      <c r="I80" s="110"/>
      <c r="J80" s="110"/>
      <c r="K80" s="110"/>
      <c r="L80" s="110"/>
      <c r="M80" s="111"/>
      <c r="N80" s="107"/>
      <c r="O80" s="107"/>
      <c r="P80" s="107"/>
      <c r="Q80" s="107"/>
      <c r="R80" s="108"/>
      <c r="S80" s="109"/>
      <c r="T80" s="109"/>
      <c r="U80" s="109"/>
    </row>
    <row r="81" spans="2:21" x14ac:dyDescent="0.3">
      <c r="B81" s="110"/>
      <c r="C81" s="110"/>
      <c r="D81" s="110"/>
      <c r="E81" s="110"/>
      <c r="F81" s="110"/>
      <c r="G81" s="110"/>
      <c r="H81" s="110"/>
      <c r="I81" s="110"/>
      <c r="J81" s="110"/>
      <c r="K81" s="110"/>
      <c r="L81" s="110"/>
      <c r="M81" s="114"/>
      <c r="N81" s="115"/>
      <c r="O81" s="115"/>
      <c r="P81" s="115"/>
      <c r="Q81" s="115"/>
      <c r="R81" s="115"/>
      <c r="S81" s="109"/>
      <c r="T81" s="109"/>
      <c r="U81" s="10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R251"/>
  <sheetViews>
    <sheetView topLeftCell="A232" workbookViewId="0">
      <selection activeCell="G253" sqref="G253"/>
    </sheetView>
  </sheetViews>
  <sheetFormatPr defaultColWidth="9.109375" defaultRowHeight="13.2" x14ac:dyDescent="0.25"/>
  <cols>
    <col min="1" max="1" width="7.33203125" style="163" customWidth="1"/>
    <col min="2" max="2" width="49" style="163" customWidth="1"/>
    <col min="3" max="3" width="14.109375" style="163" customWidth="1"/>
    <col min="4" max="4" width="25" style="163" customWidth="1"/>
    <col min="5" max="5" width="11.88671875" style="163" customWidth="1"/>
    <col min="6" max="6" width="12.6640625" style="163" customWidth="1"/>
    <col min="7" max="7" width="13.33203125" style="163" customWidth="1"/>
    <col min="8" max="8" width="12.109375" style="163" customWidth="1"/>
    <col min="9" max="9" width="11.88671875" style="163" customWidth="1"/>
    <col min="10" max="13" width="10.5546875" style="163" customWidth="1"/>
    <col min="14" max="18" width="10.5546875" style="163" bestFit="1" customWidth="1"/>
    <col min="19" max="16384" width="9.109375" style="163"/>
  </cols>
  <sheetData>
    <row r="1" spans="2:18" x14ac:dyDescent="0.25">
      <c r="L1" s="163">
        <v>1</v>
      </c>
    </row>
    <row r="2" spans="2:18" x14ac:dyDescent="0.25">
      <c r="B2" s="559" t="s">
        <v>212</v>
      </c>
      <c r="C2" s="559"/>
      <c r="D2" s="559"/>
      <c r="E2" s="559"/>
      <c r="F2" s="559"/>
      <c r="G2" s="559"/>
      <c r="H2" s="559"/>
      <c r="I2" s="559"/>
      <c r="J2" s="559"/>
      <c r="K2" s="559"/>
      <c r="L2" s="559"/>
    </row>
    <row r="3" spans="2:18" x14ac:dyDescent="0.25">
      <c r="B3" s="558" t="s">
        <v>530</v>
      </c>
      <c r="C3" s="558"/>
      <c r="D3" s="558"/>
      <c r="E3" s="558"/>
      <c r="F3" s="558"/>
      <c r="G3" s="558"/>
      <c r="H3" s="558"/>
      <c r="I3" s="558"/>
      <c r="J3" s="558"/>
      <c r="K3" s="558"/>
      <c r="L3" s="558"/>
    </row>
    <row r="4" spans="2:18" x14ac:dyDescent="0.25">
      <c r="E4" s="164">
        <v>2023</v>
      </c>
      <c r="F4" s="164">
        <v>2024</v>
      </c>
      <c r="G4" s="164">
        <v>2025</v>
      </c>
      <c r="H4" s="164">
        <v>2026</v>
      </c>
      <c r="I4" s="164">
        <v>2027</v>
      </c>
      <c r="J4" s="164">
        <v>2028</v>
      </c>
      <c r="K4" s="164">
        <v>2029</v>
      </c>
      <c r="L4" s="164">
        <v>2030</v>
      </c>
      <c r="M4" s="164">
        <v>2031</v>
      </c>
      <c r="N4" s="164">
        <v>2032</v>
      </c>
      <c r="O4" s="164">
        <v>2033</v>
      </c>
      <c r="P4" s="164">
        <v>2034</v>
      </c>
      <c r="Q4" s="164">
        <v>2035</v>
      </c>
      <c r="R4" s="164">
        <v>2036</v>
      </c>
    </row>
    <row r="5" spans="2:18" x14ac:dyDescent="0.25">
      <c r="B5" s="676" t="s">
        <v>0</v>
      </c>
      <c r="C5" s="645" t="s">
        <v>213</v>
      </c>
      <c r="D5" s="645" t="s">
        <v>214</v>
      </c>
      <c r="E5" s="193"/>
      <c r="F5" s="676" t="s">
        <v>215</v>
      </c>
      <c r="G5" s="676"/>
      <c r="H5" s="676"/>
      <c r="I5" s="676"/>
      <c r="J5" s="676"/>
      <c r="K5" s="676"/>
      <c r="L5" s="676"/>
    </row>
    <row r="6" spans="2:18" x14ac:dyDescent="0.25">
      <c r="B6" s="676"/>
      <c r="C6" s="645"/>
      <c r="D6" s="645"/>
      <c r="E6" s="193">
        <v>-1</v>
      </c>
      <c r="F6" s="167">
        <v>1</v>
      </c>
      <c r="G6" s="167">
        <f>F6+1</f>
        <v>2</v>
      </c>
      <c r="H6" s="167">
        <f t="shared" ref="H6:R6" si="0">G6+1</f>
        <v>3</v>
      </c>
      <c r="I6" s="167">
        <f t="shared" si="0"/>
        <v>4</v>
      </c>
      <c r="J6" s="167">
        <f t="shared" si="0"/>
        <v>5</v>
      </c>
      <c r="K6" s="167">
        <f>J6+1</f>
        <v>6</v>
      </c>
      <c r="L6" s="167">
        <f t="shared" si="0"/>
        <v>7</v>
      </c>
      <c r="M6" s="167">
        <f t="shared" si="0"/>
        <v>8</v>
      </c>
      <c r="N6" s="167">
        <f t="shared" si="0"/>
        <v>9</v>
      </c>
      <c r="O6" s="167">
        <f t="shared" si="0"/>
        <v>10</v>
      </c>
      <c r="P6" s="167">
        <f t="shared" si="0"/>
        <v>11</v>
      </c>
      <c r="Q6" s="167">
        <f t="shared" si="0"/>
        <v>12</v>
      </c>
      <c r="R6" s="167">
        <f t="shared" si="0"/>
        <v>13</v>
      </c>
    </row>
    <row r="7" spans="2:18" x14ac:dyDescent="0.25">
      <c r="B7" s="564" t="s">
        <v>216</v>
      </c>
      <c r="C7" s="193" t="s">
        <v>217</v>
      </c>
      <c r="D7" s="165">
        <f>'Расч эксп запасов'!D7</f>
        <v>16514.902075875099</v>
      </c>
      <c r="E7" s="165"/>
      <c r="F7" s="166"/>
      <c r="G7" s="167"/>
      <c r="H7" s="167"/>
      <c r="I7" s="167"/>
      <c r="J7" s="167"/>
      <c r="K7" s="167"/>
      <c r="L7" s="167"/>
      <c r="M7" s="168"/>
      <c r="N7" s="168"/>
      <c r="O7" s="168"/>
      <c r="P7" s="168"/>
      <c r="Q7" s="168"/>
      <c r="R7" s="168"/>
    </row>
    <row r="8" spans="2:18" x14ac:dyDescent="0.25">
      <c r="B8" s="571" t="s">
        <v>218</v>
      </c>
      <c r="C8" s="193"/>
      <c r="F8" s="166"/>
      <c r="G8" s="167"/>
      <c r="H8" s="167"/>
      <c r="I8" s="167"/>
      <c r="J8" s="167"/>
      <c r="K8" s="167"/>
      <c r="L8" s="167"/>
      <c r="M8" s="168"/>
      <c r="N8" s="168"/>
      <c r="O8" s="168"/>
      <c r="P8" s="168"/>
      <c r="Q8" s="168"/>
      <c r="R8" s="168"/>
    </row>
    <row r="9" spans="2:18" x14ac:dyDescent="0.25">
      <c r="B9" s="169" t="s">
        <v>219</v>
      </c>
      <c r="C9" s="193" t="s">
        <v>2</v>
      </c>
      <c r="D9" s="172">
        <f>'Расч эксп запасов'!E7</f>
        <v>2.13998866077121</v>
      </c>
      <c r="E9" s="170"/>
      <c r="F9" s="166"/>
      <c r="G9" s="167"/>
      <c r="H9" s="167"/>
      <c r="I9" s="167"/>
      <c r="J9" s="167"/>
      <c r="K9" s="167"/>
      <c r="L9" s="167"/>
      <c r="M9" s="168"/>
      <c r="N9" s="168"/>
      <c r="O9" s="168"/>
      <c r="P9" s="168"/>
      <c r="Q9" s="168"/>
      <c r="R9" s="168"/>
    </row>
    <row r="10" spans="2:18" x14ac:dyDescent="0.25">
      <c r="B10" s="169" t="s">
        <v>220</v>
      </c>
      <c r="C10" s="193" t="s">
        <v>2</v>
      </c>
      <c r="D10" s="172">
        <f>'Расч эксп запасов'!F7</f>
        <v>4.3208041866159101</v>
      </c>
      <c r="E10" s="170"/>
      <c r="F10" s="166"/>
      <c r="G10" s="167"/>
      <c r="H10" s="167"/>
      <c r="I10" s="167"/>
      <c r="J10" s="167"/>
      <c r="K10" s="167"/>
      <c r="L10" s="167"/>
      <c r="M10" s="168"/>
      <c r="N10" s="168"/>
      <c r="O10" s="168"/>
      <c r="P10" s="168"/>
      <c r="Q10" s="168"/>
      <c r="R10" s="168"/>
    </row>
    <row r="11" spans="2:18" x14ac:dyDescent="0.25">
      <c r="B11" s="171" t="s">
        <v>221</v>
      </c>
      <c r="C11" s="193" t="s">
        <v>2</v>
      </c>
      <c r="D11" s="172">
        <f>'Расч эксп запасов'!G7</f>
        <v>1.33331586196198</v>
      </c>
      <c r="E11" s="170"/>
      <c r="F11" s="166"/>
      <c r="G11" s="167"/>
      <c r="H11" s="167"/>
      <c r="I11" s="167"/>
      <c r="J11" s="167"/>
      <c r="K11" s="167"/>
      <c r="L11" s="167"/>
      <c r="M11" s="168"/>
      <c r="N11" s="168"/>
      <c r="O11" s="168"/>
      <c r="P11" s="168"/>
      <c r="Q11" s="168"/>
      <c r="R11" s="168"/>
    </row>
    <row r="12" spans="2:18" x14ac:dyDescent="0.25">
      <c r="B12" s="169" t="s">
        <v>222</v>
      </c>
      <c r="C12" s="193" t="s">
        <v>223</v>
      </c>
      <c r="D12" s="172">
        <f>'Расч эксп запасов'!H7</f>
        <v>0.89840649998422795</v>
      </c>
      <c r="E12" s="170"/>
      <c r="F12" s="123"/>
      <c r="G12" s="167"/>
      <c r="H12" s="167"/>
      <c r="I12" s="167"/>
      <c r="J12" s="167"/>
      <c r="K12" s="167"/>
      <c r="L12" s="172"/>
      <c r="M12" s="168"/>
      <c r="N12" s="168"/>
      <c r="O12" s="168"/>
      <c r="P12" s="168"/>
      <c r="Q12" s="168"/>
      <c r="R12" s="168"/>
    </row>
    <row r="13" spans="2:18" x14ac:dyDescent="0.25">
      <c r="B13" s="169" t="s">
        <v>224</v>
      </c>
      <c r="C13" s="193" t="s">
        <v>223</v>
      </c>
      <c r="D13" s="172">
        <f>'Расч эксп запасов'!I7</f>
        <v>102.42636049888399</v>
      </c>
      <c r="E13" s="170"/>
      <c r="F13" s="123"/>
      <c r="G13" s="167"/>
      <c r="H13" s="167"/>
      <c r="I13" s="167"/>
      <c r="J13" s="167"/>
      <c r="K13" s="167"/>
      <c r="L13" s="172"/>
      <c r="M13" s="168"/>
      <c r="N13" s="168"/>
      <c r="O13" s="168"/>
      <c r="P13" s="168"/>
      <c r="Q13" s="168"/>
      <c r="R13" s="168"/>
    </row>
    <row r="14" spans="2:18" x14ac:dyDescent="0.25">
      <c r="B14" s="571" t="s">
        <v>225</v>
      </c>
      <c r="C14" s="193"/>
      <c r="D14" s="172"/>
      <c r="E14" s="170"/>
      <c r="F14" s="173"/>
      <c r="G14" s="167"/>
      <c r="H14" s="167"/>
      <c r="I14" s="167"/>
      <c r="J14" s="167"/>
      <c r="K14" s="167"/>
      <c r="L14" s="167"/>
      <c r="M14" s="168"/>
      <c r="N14" s="168"/>
      <c r="O14" s="168"/>
      <c r="P14" s="168"/>
      <c r="Q14" s="168"/>
      <c r="R14" s="168"/>
    </row>
    <row r="15" spans="2:18" x14ac:dyDescent="0.25">
      <c r="B15" s="169" t="s">
        <v>219</v>
      </c>
      <c r="C15" s="193" t="s">
        <v>226</v>
      </c>
      <c r="D15" s="190">
        <f>'Расч эксп запасов'!J7</f>
        <v>353417.03176119633</v>
      </c>
      <c r="E15" s="174"/>
      <c r="F15" s="173"/>
      <c r="G15" s="167"/>
      <c r="H15" s="167"/>
      <c r="I15" s="167"/>
      <c r="J15" s="167"/>
      <c r="K15" s="167"/>
      <c r="L15" s="167"/>
      <c r="M15" s="168"/>
      <c r="N15" s="168"/>
      <c r="O15" s="168"/>
      <c r="P15" s="168"/>
      <c r="Q15" s="168"/>
      <c r="R15" s="168"/>
    </row>
    <row r="16" spans="2:18" x14ac:dyDescent="0.25">
      <c r="B16" s="169" t="s">
        <v>220</v>
      </c>
      <c r="C16" s="193" t="s">
        <v>226</v>
      </c>
      <c r="D16" s="190">
        <f>'Расч эксп запасов'!K7</f>
        <v>713576.58030992909</v>
      </c>
      <c r="E16" s="174"/>
      <c r="F16" s="173"/>
      <c r="G16" s="167"/>
      <c r="H16" s="167"/>
      <c r="I16" s="167"/>
      <c r="J16" s="167"/>
      <c r="K16" s="167"/>
      <c r="L16" s="167"/>
      <c r="M16" s="168"/>
      <c r="N16" s="168"/>
      <c r="O16" s="168"/>
      <c r="P16" s="168"/>
      <c r="Q16" s="168"/>
      <c r="R16" s="168"/>
    </row>
    <row r="17" spans="1:18" x14ac:dyDescent="0.25">
      <c r="B17" s="171" t="s">
        <v>221</v>
      </c>
      <c r="C17" s="193" t="s">
        <v>226</v>
      </c>
      <c r="D17" s="190">
        <f>'Расч эксп запасов'!L7</f>
        <v>220195.808965131</v>
      </c>
      <c r="E17" s="174"/>
      <c r="F17" s="173"/>
      <c r="G17" s="167"/>
      <c r="H17" s="167"/>
      <c r="I17" s="167"/>
      <c r="J17" s="167"/>
      <c r="K17" s="167"/>
      <c r="L17" s="167"/>
      <c r="M17" s="168"/>
      <c r="N17" s="168"/>
      <c r="O17" s="168"/>
      <c r="P17" s="168"/>
      <c r="Q17" s="168"/>
      <c r="R17" s="168"/>
    </row>
    <row r="18" spans="1:18" x14ac:dyDescent="0.25">
      <c r="B18" s="169" t="s">
        <v>222</v>
      </c>
      <c r="C18" s="193" t="s">
        <v>227</v>
      </c>
      <c r="D18" s="190">
        <f>'Расч эксп запасов'!M7</f>
        <v>14837.095371569209</v>
      </c>
      <c r="E18" s="174"/>
      <c r="F18" s="166"/>
      <c r="G18" s="167"/>
      <c r="H18" s="167"/>
      <c r="I18" s="167"/>
      <c r="J18" s="167"/>
      <c r="K18" s="167"/>
      <c r="L18" s="167"/>
      <c r="M18" s="168"/>
      <c r="N18" s="168"/>
      <c r="O18" s="168"/>
      <c r="P18" s="168"/>
      <c r="Q18" s="168"/>
      <c r="R18" s="168"/>
    </row>
    <row r="19" spans="1:18" x14ac:dyDescent="0.25">
      <c r="B19" s="169" t="s">
        <v>224</v>
      </c>
      <c r="C19" s="193" t="s">
        <v>227</v>
      </c>
      <c r="D19" s="190">
        <f>'Расч эксп запасов'!N7</f>
        <v>1691561.3136273506</v>
      </c>
      <c r="E19" s="174"/>
      <c r="F19" s="166"/>
      <c r="G19" s="167"/>
      <c r="H19" s="167"/>
      <c r="I19" s="167"/>
      <c r="J19" s="167"/>
      <c r="K19" s="167"/>
      <c r="L19" s="167"/>
      <c r="M19" s="168"/>
      <c r="N19" s="168"/>
      <c r="O19" s="168"/>
      <c r="P19" s="168"/>
      <c r="Q19" s="168"/>
      <c r="R19" s="168"/>
    </row>
    <row r="20" spans="1:18" x14ac:dyDescent="0.25">
      <c r="B20" s="182" t="s">
        <v>102</v>
      </c>
      <c r="C20" s="168" t="s">
        <v>2</v>
      </c>
      <c r="D20" s="176">
        <f>'Расч эксп запасов'!C12/100</f>
        <v>7.5399999999999995E-2</v>
      </c>
      <c r="E20" s="175"/>
      <c r="F20" s="167"/>
      <c r="G20" s="167"/>
      <c r="H20" s="167"/>
      <c r="I20" s="167"/>
      <c r="J20" s="167"/>
      <c r="K20" s="167"/>
      <c r="L20" s="172"/>
      <c r="M20" s="168"/>
      <c r="N20" s="168"/>
      <c r="O20" s="168"/>
      <c r="P20" s="168"/>
      <c r="Q20" s="168"/>
      <c r="R20" s="168"/>
    </row>
    <row r="21" spans="1:18" x14ac:dyDescent="0.25">
      <c r="B21" s="182" t="s">
        <v>133</v>
      </c>
      <c r="C21" s="168" t="s">
        <v>2</v>
      </c>
      <c r="D21" s="176">
        <f>'Расч эксп запасов'!C17/100</f>
        <v>0.12130000000000001</v>
      </c>
      <c r="E21" s="176"/>
      <c r="F21" s="167"/>
      <c r="G21" s="167"/>
      <c r="H21" s="167"/>
      <c r="I21" s="167"/>
      <c r="J21" s="167"/>
      <c r="K21" s="167"/>
      <c r="L21" s="172"/>
      <c r="M21" s="168"/>
      <c r="N21" s="168"/>
      <c r="O21" s="168"/>
      <c r="P21" s="168"/>
      <c r="Q21" s="168"/>
      <c r="R21" s="168"/>
    </row>
    <row r="22" spans="1:18" x14ac:dyDescent="0.25">
      <c r="B22" s="182" t="s">
        <v>228</v>
      </c>
      <c r="C22" s="193" t="s">
        <v>229</v>
      </c>
      <c r="D22" s="165">
        <f>SUM(F22:R22)</f>
        <v>17377.579000000002</v>
      </c>
      <c r="E22" s="165"/>
      <c r="F22" s="165">
        <f>календари!F21</f>
        <v>1250</v>
      </c>
      <c r="G22" s="165">
        <f>календари!G21</f>
        <v>1300</v>
      </c>
      <c r="H22" s="165">
        <f>календари!H21</f>
        <v>1400</v>
      </c>
      <c r="I22" s="165">
        <f>календари!I21</f>
        <v>1500</v>
      </c>
      <c r="J22" s="165">
        <f>календари!J21</f>
        <v>1500</v>
      </c>
      <c r="K22" s="165">
        <f>календари!K21</f>
        <v>1500</v>
      </c>
      <c r="L22" s="165">
        <f>календари!L21</f>
        <v>1500</v>
      </c>
      <c r="M22" s="165">
        <f>календари!M21</f>
        <v>1500</v>
      </c>
      <c r="N22" s="165">
        <f>календари!N21</f>
        <v>1500</v>
      </c>
      <c r="O22" s="165">
        <f>календари!O21</f>
        <v>1500</v>
      </c>
      <c r="P22" s="165">
        <f>календари!P21</f>
        <v>1500</v>
      </c>
      <c r="Q22" s="165">
        <f>календари!Q21</f>
        <v>800</v>
      </c>
      <c r="R22" s="165">
        <f>календари!R21</f>
        <v>627.57899999999995</v>
      </c>
    </row>
    <row r="23" spans="1:18" x14ac:dyDescent="0.25">
      <c r="B23" s="182" t="s">
        <v>230</v>
      </c>
      <c r="C23" s="193"/>
      <c r="D23" s="165"/>
      <c r="E23" s="165"/>
      <c r="F23" s="165"/>
      <c r="G23" s="177"/>
      <c r="H23" s="177"/>
      <c r="I23" s="177"/>
      <c r="J23" s="177"/>
      <c r="K23" s="177"/>
      <c r="L23" s="178"/>
    </row>
    <row r="24" spans="1:18" x14ac:dyDescent="0.25">
      <c r="B24" s="169" t="s">
        <v>219</v>
      </c>
      <c r="C24" s="179" t="s">
        <v>2</v>
      </c>
      <c r="D24" s="180">
        <f>AVERAGE(F24:R24)</f>
        <v>1.8804057803448908</v>
      </c>
      <c r="E24" s="180"/>
      <c r="F24" s="180">
        <f t="shared" ref="F24:R24" si="1">F30/F22/10</f>
        <v>1.8804057803448917</v>
      </c>
      <c r="G24" s="180">
        <f t="shared" si="1"/>
        <v>1.8804057803448913</v>
      </c>
      <c r="H24" s="180">
        <f t="shared" si="1"/>
        <v>1.8804057803448913</v>
      </c>
      <c r="I24" s="180">
        <f t="shared" si="1"/>
        <v>1.8804057803448913</v>
      </c>
      <c r="J24" s="180">
        <f t="shared" si="1"/>
        <v>1.8804057803448913</v>
      </c>
      <c r="K24" s="180">
        <f t="shared" si="1"/>
        <v>1.8804057803448913</v>
      </c>
      <c r="L24" s="180">
        <f t="shared" si="1"/>
        <v>1.8804057803448913</v>
      </c>
      <c r="M24" s="180">
        <f t="shared" si="1"/>
        <v>1.8804057803448913</v>
      </c>
      <c r="N24" s="180">
        <f t="shared" si="1"/>
        <v>1.8804057803448913</v>
      </c>
      <c r="O24" s="180">
        <f t="shared" si="1"/>
        <v>1.8804057803448913</v>
      </c>
      <c r="P24" s="180">
        <f t="shared" si="1"/>
        <v>1.8804057803448913</v>
      </c>
      <c r="Q24" s="180">
        <f t="shared" si="1"/>
        <v>1.8804057803448913</v>
      </c>
      <c r="R24" s="180">
        <f t="shared" si="1"/>
        <v>1.8804057803448917</v>
      </c>
    </row>
    <row r="25" spans="1:18" x14ac:dyDescent="0.25">
      <c r="B25" s="169" t="s">
        <v>220</v>
      </c>
      <c r="C25" s="179" t="s">
        <v>2</v>
      </c>
      <c r="D25" s="180">
        <f>AVERAGE(F25:R25)</f>
        <v>3.7966911271127013</v>
      </c>
      <c r="E25" s="180"/>
      <c r="F25" s="180">
        <f t="shared" ref="F25:R25" si="2">F31/F22/10</f>
        <v>3.7966911271127008</v>
      </c>
      <c r="G25" s="180">
        <f t="shared" si="2"/>
        <v>3.7966911271127004</v>
      </c>
      <c r="H25" s="180">
        <f t="shared" si="2"/>
        <v>3.7966911271127008</v>
      </c>
      <c r="I25" s="180">
        <f t="shared" si="2"/>
        <v>3.7966911271127004</v>
      </c>
      <c r="J25" s="180">
        <f t="shared" si="2"/>
        <v>3.7966911271127004</v>
      </c>
      <c r="K25" s="180">
        <f t="shared" si="2"/>
        <v>3.7966911271127004</v>
      </c>
      <c r="L25" s="180">
        <f t="shared" si="2"/>
        <v>3.7966911271127004</v>
      </c>
      <c r="M25" s="180">
        <f t="shared" si="2"/>
        <v>3.7966911271127004</v>
      </c>
      <c r="N25" s="180">
        <f t="shared" si="2"/>
        <v>3.7966911271127004</v>
      </c>
      <c r="O25" s="180">
        <f t="shared" si="2"/>
        <v>3.7966911271127004</v>
      </c>
      <c r="P25" s="180">
        <f t="shared" si="2"/>
        <v>3.7966911271127004</v>
      </c>
      <c r="Q25" s="180">
        <f t="shared" si="2"/>
        <v>3.7966911271127004</v>
      </c>
      <c r="R25" s="180">
        <f t="shared" si="2"/>
        <v>3.7966911271127008</v>
      </c>
    </row>
    <row r="26" spans="1:18" x14ac:dyDescent="0.25">
      <c r="A26" s="181"/>
      <c r="B26" s="171" t="s">
        <v>221</v>
      </c>
      <c r="C26" s="179" t="s">
        <v>2</v>
      </c>
      <c r="D26" s="180">
        <f>AVERAGE(F26:R26)</f>
        <v>1.1715843731741915</v>
      </c>
      <c r="E26" s="180"/>
      <c r="F26" s="180">
        <f t="shared" ref="F26:R26" si="3">F32/F22/10</f>
        <v>1.1715843731741917</v>
      </c>
      <c r="G26" s="180">
        <f t="shared" si="3"/>
        <v>1.1715843731741917</v>
      </c>
      <c r="H26" s="180">
        <f t="shared" si="3"/>
        <v>1.1715843731741917</v>
      </c>
      <c r="I26" s="180">
        <f t="shared" si="3"/>
        <v>1.1715843731741917</v>
      </c>
      <c r="J26" s="180">
        <f t="shared" si="3"/>
        <v>1.1715843731741917</v>
      </c>
      <c r="K26" s="180">
        <f t="shared" si="3"/>
        <v>1.1715843731741917</v>
      </c>
      <c r="L26" s="180">
        <f t="shared" si="3"/>
        <v>1.1715843731741917</v>
      </c>
      <c r="M26" s="180">
        <f t="shared" si="3"/>
        <v>1.1715843731741917</v>
      </c>
      <c r="N26" s="180">
        <f t="shared" si="3"/>
        <v>1.1715843731741917</v>
      </c>
      <c r="O26" s="180">
        <f t="shared" si="3"/>
        <v>1.1715843731741917</v>
      </c>
      <c r="P26" s="180">
        <f t="shared" si="3"/>
        <v>1.1715843731741917</v>
      </c>
      <c r="Q26" s="180">
        <f t="shared" si="3"/>
        <v>1.1715843731741917</v>
      </c>
      <c r="R26" s="180">
        <f t="shared" si="3"/>
        <v>1.1715843731741917</v>
      </c>
    </row>
    <row r="27" spans="1:18" x14ac:dyDescent="0.25">
      <c r="A27" s="181"/>
      <c r="B27" s="169" t="s">
        <v>222</v>
      </c>
      <c r="C27" s="179" t="s">
        <v>223</v>
      </c>
      <c r="D27" s="180">
        <f>AVERAGE(F27:R27)</f>
        <v>0.78940800671946287</v>
      </c>
      <c r="E27" s="180"/>
      <c r="F27" s="180">
        <f t="shared" ref="F27:R27" si="4">F33/F22</f>
        <v>0.78940800671946298</v>
      </c>
      <c r="G27" s="180">
        <f t="shared" si="4"/>
        <v>0.78940800671946287</v>
      </c>
      <c r="H27" s="180">
        <f t="shared" si="4"/>
        <v>0.78940800671946298</v>
      </c>
      <c r="I27" s="180">
        <f t="shared" si="4"/>
        <v>0.78940800671946298</v>
      </c>
      <c r="J27" s="180">
        <f t="shared" si="4"/>
        <v>0.78940800671946298</v>
      </c>
      <c r="K27" s="180">
        <f t="shared" si="4"/>
        <v>0.78940800671946298</v>
      </c>
      <c r="L27" s="180">
        <f t="shared" si="4"/>
        <v>0.78940800671946298</v>
      </c>
      <c r="M27" s="180">
        <f t="shared" si="4"/>
        <v>0.78940800671946298</v>
      </c>
      <c r="N27" s="180">
        <f t="shared" si="4"/>
        <v>0.78940800671946298</v>
      </c>
      <c r="O27" s="180">
        <f t="shared" si="4"/>
        <v>0.78940800671946298</v>
      </c>
      <c r="P27" s="180">
        <f t="shared" si="4"/>
        <v>0.78940800671946298</v>
      </c>
      <c r="Q27" s="180">
        <f t="shared" si="4"/>
        <v>0.78940800671946287</v>
      </c>
      <c r="R27" s="180">
        <f t="shared" si="4"/>
        <v>0.78940800671946298</v>
      </c>
    </row>
    <row r="28" spans="1:18" x14ac:dyDescent="0.25">
      <c r="A28" s="181"/>
      <c r="B28" s="169" t="s">
        <v>224</v>
      </c>
      <c r="C28" s="179" t="s">
        <v>223</v>
      </c>
      <c r="D28" s="180">
        <f>AVERAGE(F28:R28)</f>
        <v>90.002065304954158</v>
      </c>
      <c r="E28" s="180"/>
      <c r="F28" s="180">
        <f t="shared" ref="F28:R28" si="5">F34/F22</f>
        <v>90.002065304954158</v>
      </c>
      <c r="G28" s="180">
        <f t="shared" si="5"/>
        <v>90.002065304954158</v>
      </c>
      <c r="H28" s="180">
        <f t="shared" si="5"/>
        <v>90.002065304954144</v>
      </c>
      <c r="I28" s="180">
        <f t="shared" si="5"/>
        <v>90.002065304954144</v>
      </c>
      <c r="J28" s="180">
        <f t="shared" si="5"/>
        <v>90.002065304954144</v>
      </c>
      <c r="K28" s="180">
        <f t="shared" si="5"/>
        <v>90.002065304954144</v>
      </c>
      <c r="L28" s="180">
        <f t="shared" si="5"/>
        <v>90.002065304954144</v>
      </c>
      <c r="M28" s="180">
        <f t="shared" si="5"/>
        <v>90.002065304954144</v>
      </c>
      <c r="N28" s="180">
        <f t="shared" si="5"/>
        <v>90.002065304954144</v>
      </c>
      <c r="O28" s="180">
        <f t="shared" si="5"/>
        <v>90.002065304954144</v>
      </c>
      <c r="P28" s="180">
        <f t="shared" si="5"/>
        <v>90.002065304954144</v>
      </c>
      <c r="Q28" s="180">
        <f t="shared" si="5"/>
        <v>90.002065304954144</v>
      </c>
      <c r="R28" s="180">
        <f t="shared" si="5"/>
        <v>90.002065304954158</v>
      </c>
    </row>
    <row r="29" spans="1:18" x14ac:dyDescent="0.25">
      <c r="B29" s="182" t="s">
        <v>543</v>
      </c>
      <c r="C29" s="182"/>
      <c r="D29" s="182"/>
      <c r="E29" s="182"/>
      <c r="F29" s="182"/>
      <c r="G29" s="182"/>
      <c r="H29" s="182"/>
      <c r="I29" s="182"/>
      <c r="J29" s="182"/>
      <c r="K29" s="182"/>
      <c r="L29" s="182"/>
    </row>
    <row r="30" spans="1:18" x14ac:dyDescent="0.25">
      <c r="B30" s="169" t="s">
        <v>219</v>
      </c>
      <c r="C30" s="179" t="s">
        <v>231</v>
      </c>
      <c r="D30" s="165">
        <f>SUM(F30:R30)</f>
        <v>326768.99999999994</v>
      </c>
      <c r="E30" s="183"/>
      <c r="F30" s="183">
        <f>календари!F27*1000</f>
        <v>23505.072254311144</v>
      </c>
      <c r="G30" s="183">
        <f>календари!G27*1000</f>
        <v>24445.275144483589</v>
      </c>
      <c r="H30" s="183">
        <f>календари!H27*1000</f>
        <v>26325.680924828477</v>
      </c>
      <c r="I30" s="183">
        <f>календари!I27*1000</f>
        <v>28206.086705173369</v>
      </c>
      <c r="J30" s="183">
        <f>календари!J27*1000</f>
        <v>28206.086705173369</v>
      </c>
      <c r="K30" s="183">
        <f>календари!K27*1000</f>
        <v>28206.086705173369</v>
      </c>
      <c r="L30" s="183">
        <f>календари!L27*1000</f>
        <v>28206.086705173369</v>
      </c>
      <c r="M30" s="183">
        <f>календари!M27*1000</f>
        <v>28206.086705173369</v>
      </c>
      <c r="N30" s="183">
        <f>календари!N27*1000</f>
        <v>28206.086705173369</v>
      </c>
      <c r="O30" s="183">
        <f>календари!O27*1000</f>
        <v>28206.086705173369</v>
      </c>
      <c r="P30" s="183">
        <f>календари!P27*1000</f>
        <v>28206.086705173369</v>
      </c>
      <c r="Q30" s="183">
        <f>календари!Q27*1000</f>
        <v>15043.246242759131</v>
      </c>
      <c r="R30" s="183">
        <f>календари!R27*1000</f>
        <v>11801.031792230666</v>
      </c>
    </row>
    <row r="31" spans="1:18" x14ac:dyDescent="0.25">
      <c r="B31" s="169" t="s">
        <v>220</v>
      </c>
      <c r="C31" s="179" t="s">
        <v>231</v>
      </c>
      <c r="D31" s="165">
        <f>SUM(F31:R31)</f>
        <v>659773</v>
      </c>
      <c r="E31" s="183"/>
      <c r="F31" s="183">
        <f>календари!F28*1000</f>
        <v>47458.639088908763</v>
      </c>
      <c r="G31" s="183">
        <f>календари!G28*1000</f>
        <v>49356.984652465108</v>
      </c>
      <c r="H31" s="183">
        <f>календари!H28*1000</f>
        <v>53153.67577957781</v>
      </c>
      <c r="I31" s="183">
        <f>календари!I28*1000</f>
        <v>56950.366906690506</v>
      </c>
      <c r="J31" s="183">
        <f>календари!J28*1000</f>
        <v>56950.366906690506</v>
      </c>
      <c r="K31" s="183">
        <f>календари!K28*1000</f>
        <v>56950.366906690506</v>
      </c>
      <c r="L31" s="183">
        <f>календари!L28*1000</f>
        <v>56950.366906690506</v>
      </c>
      <c r="M31" s="183">
        <f>календари!M28*1000</f>
        <v>56950.366906690506</v>
      </c>
      <c r="N31" s="183">
        <f>календари!N28*1000</f>
        <v>56950.366906690506</v>
      </c>
      <c r="O31" s="183">
        <f>календари!O28*1000</f>
        <v>56950.366906690506</v>
      </c>
      <c r="P31" s="183">
        <f>календари!P28*1000</f>
        <v>56950.366906690506</v>
      </c>
      <c r="Q31" s="183">
        <f>календари!Q28*1000</f>
        <v>30373.529016901604</v>
      </c>
      <c r="R31" s="183">
        <f>календари!R28*1000</f>
        <v>23827.236208622617</v>
      </c>
    </row>
    <row r="32" spans="1:18" x14ac:dyDescent="0.25">
      <c r="B32" s="171" t="s">
        <v>221</v>
      </c>
      <c r="C32" s="179" t="s">
        <v>231</v>
      </c>
      <c r="D32" s="165">
        <f>SUM(F32:R32)</f>
        <v>203593</v>
      </c>
      <c r="E32" s="184"/>
      <c r="F32" s="183">
        <f>календари!F29*1000</f>
        <v>14644.804664677396</v>
      </c>
      <c r="G32" s="183">
        <f>календари!G29*1000</f>
        <v>15230.596851264492</v>
      </c>
      <c r="H32" s="183">
        <f>календари!H29*1000</f>
        <v>16402.181224438686</v>
      </c>
      <c r="I32" s="183">
        <f>календари!I29*1000</f>
        <v>17573.765597612877</v>
      </c>
      <c r="J32" s="183">
        <f>календари!J29*1000</f>
        <v>17573.765597612877</v>
      </c>
      <c r="K32" s="183">
        <f>календари!K29*1000</f>
        <v>17573.765597612877</v>
      </c>
      <c r="L32" s="183">
        <f>календари!L29*1000</f>
        <v>17573.765597612877</v>
      </c>
      <c r="M32" s="183">
        <f>календари!M29*1000</f>
        <v>17573.765597612877</v>
      </c>
      <c r="N32" s="183">
        <f>календари!N29*1000</f>
        <v>17573.765597612877</v>
      </c>
      <c r="O32" s="183">
        <f>календари!O29*1000</f>
        <v>17573.765597612877</v>
      </c>
      <c r="P32" s="183">
        <f>календари!P29*1000</f>
        <v>17573.765597612877</v>
      </c>
      <c r="Q32" s="183">
        <f>календари!Q29*1000</f>
        <v>9372.6749853935344</v>
      </c>
      <c r="R32" s="183">
        <f>календари!R29*1000</f>
        <v>7352.6174933228604</v>
      </c>
    </row>
    <row r="33" spans="2:18" x14ac:dyDescent="0.25">
      <c r="B33" s="169" t="s">
        <v>222</v>
      </c>
      <c r="C33" s="185" t="s">
        <v>71</v>
      </c>
      <c r="D33" s="165">
        <f>SUM(F33:R33)</f>
        <v>13717.999999999996</v>
      </c>
      <c r="E33" s="183"/>
      <c r="F33" s="183">
        <f>календари!F30</f>
        <v>986.76000839932874</v>
      </c>
      <c r="G33" s="183">
        <f>календари!G30</f>
        <v>1026.2304087353018</v>
      </c>
      <c r="H33" s="183">
        <f>календари!H30</f>
        <v>1105.1712094072482</v>
      </c>
      <c r="I33" s="183">
        <f>календари!I30</f>
        <v>1184.1120100791945</v>
      </c>
      <c r="J33" s="183">
        <f>календари!J30</f>
        <v>1184.1120100791945</v>
      </c>
      <c r="K33" s="183">
        <f>календари!K30</f>
        <v>1184.1120100791945</v>
      </c>
      <c r="L33" s="183">
        <f>календари!L30</f>
        <v>1184.1120100791945</v>
      </c>
      <c r="M33" s="183">
        <f>календари!M30</f>
        <v>1184.1120100791945</v>
      </c>
      <c r="N33" s="183">
        <f>календари!N30</f>
        <v>1184.1120100791945</v>
      </c>
      <c r="O33" s="183">
        <f>календари!O30</f>
        <v>1184.1120100791945</v>
      </c>
      <c r="P33" s="183">
        <f>календари!P30</f>
        <v>1184.1120100791945</v>
      </c>
      <c r="Q33" s="183">
        <f>календари!Q30</f>
        <v>631.52640537557033</v>
      </c>
      <c r="R33" s="183">
        <f>календари!R30</f>
        <v>495.41588744899383</v>
      </c>
    </row>
    <row r="34" spans="2:18" x14ac:dyDescent="0.25">
      <c r="B34" s="169" t="s">
        <v>224</v>
      </c>
      <c r="C34" s="186" t="s">
        <v>71</v>
      </c>
      <c r="D34" s="165">
        <f>SUM(F34:R34)</f>
        <v>1564017.9999999998</v>
      </c>
      <c r="E34" s="183"/>
      <c r="F34" s="183">
        <f>календари!F31</f>
        <v>112502.58163119269</v>
      </c>
      <c r="G34" s="183">
        <f>календари!G31</f>
        <v>117002.68489644041</v>
      </c>
      <c r="H34" s="183">
        <f>календари!H31</f>
        <v>126002.89142693581</v>
      </c>
      <c r="I34" s="183">
        <f>календари!I31</f>
        <v>135003.09795743122</v>
      </c>
      <c r="J34" s="183">
        <f>календари!J31</f>
        <v>135003.09795743122</v>
      </c>
      <c r="K34" s="183">
        <f>календари!K31</f>
        <v>135003.09795743122</v>
      </c>
      <c r="L34" s="183">
        <f>календари!L31</f>
        <v>135003.09795743122</v>
      </c>
      <c r="M34" s="183">
        <f>календари!M31</f>
        <v>135003.09795743122</v>
      </c>
      <c r="N34" s="183">
        <f>календари!N31</f>
        <v>135003.09795743122</v>
      </c>
      <c r="O34" s="183">
        <f>календари!O31</f>
        <v>135003.09795743122</v>
      </c>
      <c r="P34" s="183">
        <f>календари!P31</f>
        <v>135003.09795743122</v>
      </c>
      <c r="Q34" s="183">
        <f>календари!Q31</f>
        <v>72001.652243963312</v>
      </c>
      <c r="R34" s="183">
        <f>календари!R31</f>
        <v>56483.406142017819</v>
      </c>
    </row>
    <row r="35" spans="2:18" x14ac:dyDescent="0.25">
      <c r="B35" s="564" t="s">
        <v>232</v>
      </c>
      <c r="C35" s="187"/>
      <c r="D35" s="165"/>
      <c r="E35" s="165"/>
      <c r="F35" s="172"/>
      <c r="G35" s="183"/>
      <c r="H35" s="183"/>
      <c r="I35" s="183"/>
      <c r="J35" s="183"/>
      <c r="K35" s="183"/>
      <c r="L35" s="183"/>
      <c r="M35" s="168"/>
      <c r="N35" s="168"/>
      <c r="O35" s="168"/>
      <c r="P35" s="168"/>
      <c r="Q35" s="168"/>
      <c r="R35" s="168"/>
    </row>
    <row r="36" spans="2:18" x14ac:dyDescent="0.25">
      <c r="B36" s="182" t="s">
        <v>233</v>
      </c>
      <c r="C36" s="572" t="s">
        <v>229</v>
      </c>
      <c r="D36" s="165">
        <f>SUM(F36:R36)</f>
        <v>17377.579000000002</v>
      </c>
      <c r="E36" s="165"/>
      <c r="F36" s="172">
        <f>F22</f>
        <v>1250</v>
      </c>
      <c r="G36" s="172">
        <f t="shared" ref="G36:R36" si="6">G22</f>
        <v>1300</v>
      </c>
      <c r="H36" s="172">
        <f t="shared" si="6"/>
        <v>1400</v>
      </c>
      <c r="I36" s="172">
        <f t="shared" si="6"/>
        <v>1500</v>
      </c>
      <c r="J36" s="172">
        <f t="shared" si="6"/>
        <v>1500</v>
      </c>
      <c r="K36" s="172">
        <f t="shared" si="6"/>
        <v>1500</v>
      </c>
      <c r="L36" s="172">
        <f t="shared" si="6"/>
        <v>1500</v>
      </c>
      <c r="M36" s="172">
        <f t="shared" si="6"/>
        <v>1500</v>
      </c>
      <c r="N36" s="172">
        <f t="shared" si="6"/>
        <v>1500</v>
      </c>
      <c r="O36" s="172">
        <f t="shared" si="6"/>
        <v>1500</v>
      </c>
      <c r="P36" s="172">
        <f t="shared" si="6"/>
        <v>1500</v>
      </c>
      <c r="Q36" s="172">
        <f t="shared" si="6"/>
        <v>800</v>
      </c>
      <c r="R36" s="172">
        <f t="shared" si="6"/>
        <v>627.57899999999995</v>
      </c>
    </row>
    <row r="37" spans="2:18" x14ac:dyDescent="0.25">
      <c r="B37" s="573" t="s">
        <v>234</v>
      </c>
      <c r="C37" s="574"/>
      <c r="D37" s="165"/>
      <c r="E37" s="165"/>
      <c r="F37" s="172"/>
      <c r="G37" s="172"/>
      <c r="H37" s="172"/>
      <c r="I37" s="172"/>
      <c r="J37" s="172"/>
      <c r="K37" s="172"/>
      <c r="L37" s="172"/>
      <c r="M37" s="168"/>
      <c r="N37" s="168"/>
      <c r="O37" s="168"/>
      <c r="P37" s="168"/>
      <c r="Q37" s="168"/>
      <c r="R37" s="168"/>
    </row>
    <row r="38" spans="2:18" x14ac:dyDescent="0.25">
      <c r="B38" s="188" t="s">
        <v>235</v>
      </c>
      <c r="C38" s="572" t="s">
        <v>2</v>
      </c>
      <c r="D38" s="575">
        <f>'Данные по переработке'!B3/100</f>
        <v>7.1500000000000008E-2</v>
      </c>
      <c r="E38" s="575"/>
      <c r="F38" s="575">
        <f>$D$38</f>
        <v>7.1500000000000008E-2</v>
      </c>
      <c r="G38" s="575">
        <f t="shared" ref="G38:R38" si="7">$D$38</f>
        <v>7.1500000000000008E-2</v>
      </c>
      <c r="H38" s="575">
        <f t="shared" si="7"/>
        <v>7.1500000000000008E-2</v>
      </c>
      <c r="I38" s="575">
        <f t="shared" si="7"/>
        <v>7.1500000000000008E-2</v>
      </c>
      <c r="J38" s="575">
        <f t="shared" si="7"/>
        <v>7.1500000000000008E-2</v>
      </c>
      <c r="K38" s="575">
        <f t="shared" si="7"/>
        <v>7.1500000000000008E-2</v>
      </c>
      <c r="L38" s="575">
        <f t="shared" si="7"/>
        <v>7.1500000000000008E-2</v>
      </c>
      <c r="M38" s="575">
        <f t="shared" si="7"/>
        <v>7.1500000000000008E-2</v>
      </c>
      <c r="N38" s="575">
        <f t="shared" si="7"/>
        <v>7.1500000000000008E-2</v>
      </c>
      <c r="O38" s="575">
        <f t="shared" si="7"/>
        <v>7.1500000000000008E-2</v>
      </c>
      <c r="P38" s="575">
        <f t="shared" si="7"/>
        <v>7.1500000000000008E-2</v>
      </c>
      <c r="Q38" s="575">
        <f t="shared" si="7"/>
        <v>7.1500000000000008E-2</v>
      </c>
      <c r="R38" s="575">
        <f t="shared" si="7"/>
        <v>7.1500000000000008E-2</v>
      </c>
    </row>
    <row r="39" spans="2:18" x14ac:dyDescent="0.25">
      <c r="B39" s="188" t="s">
        <v>352</v>
      </c>
      <c r="C39" s="572" t="s">
        <v>2</v>
      </c>
      <c r="D39" s="575">
        <f>'Данные по переработке'!B4/100</f>
        <v>2.0199999999999999E-2</v>
      </c>
      <c r="E39" s="575"/>
      <c r="F39" s="575">
        <f>$D$39</f>
        <v>2.0199999999999999E-2</v>
      </c>
      <c r="G39" s="575">
        <f t="shared" ref="G39:R39" si="8">$D$39</f>
        <v>2.0199999999999999E-2</v>
      </c>
      <c r="H39" s="575">
        <f t="shared" si="8"/>
        <v>2.0199999999999999E-2</v>
      </c>
      <c r="I39" s="575">
        <f t="shared" si="8"/>
        <v>2.0199999999999999E-2</v>
      </c>
      <c r="J39" s="575">
        <f t="shared" si="8"/>
        <v>2.0199999999999999E-2</v>
      </c>
      <c r="K39" s="575">
        <f t="shared" si="8"/>
        <v>2.0199999999999999E-2</v>
      </c>
      <c r="L39" s="575">
        <f t="shared" si="8"/>
        <v>2.0199999999999999E-2</v>
      </c>
      <c r="M39" s="575">
        <f t="shared" si="8"/>
        <v>2.0199999999999999E-2</v>
      </c>
      <c r="N39" s="575">
        <f t="shared" si="8"/>
        <v>2.0199999999999999E-2</v>
      </c>
      <c r="O39" s="575">
        <f t="shared" si="8"/>
        <v>2.0199999999999999E-2</v>
      </c>
      <c r="P39" s="575">
        <f t="shared" si="8"/>
        <v>2.0199999999999999E-2</v>
      </c>
      <c r="Q39" s="575">
        <f t="shared" si="8"/>
        <v>2.0199999999999999E-2</v>
      </c>
      <c r="R39" s="575">
        <f t="shared" si="8"/>
        <v>2.0199999999999999E-2</v>
      </c>
    </row>
    <row r="40" spans="2:18" x14ac:dyDescent="0.25">
      <c r="B40" s="188" t="s">
        <v>236</v>
      </c>
      <c r="C40" s="572" t="s">
        <v>2</v>
      </c>
      <c r="D40" s="575">
        <f>'Данные по переработке'!B5/100</f>
        <v>8.14E-2</v>
      </c>
      <c r="E40" s="575"/>
      <c r="F40" s="575">
        <f>$D$40</f>
        <v>8.14E-2</v>
      </c>
      <c r="G40" s="575">
        <f t="shared" ref="G40:R40" si="9">$D$40</f>
        <v>8.14E-2</v>
      </c>
      <c r="H40" s="575">
        <f t="shared" si="9"/>
        <v>8.14E-2</v>
      </c>
      <c r="I40" s="575">
        <f t="shared" si="9"/>
        <v>8.14E-2</v>
      </c>
      <c r="J40" s="575">
        <f t="shared" si="9"/>
        <v>8.14E-2</v>
      </c>
      <c r="K40" s="575">
        <f t="shared" si="9"/>
        <v>8.14E-2</v>
      </c>
      <c r="L40" s="575">
        <f t="shared" si="9"/>
        <v>8.14E-2</v>
      </c>
      <c r="M40" s="575">
        <f t="shared" si="9"/>
        <v>8.14E-2</v>
      </c>
      <c r="N40" s="575">
        <f t="shared" si="9"/>
        <v>8.14E-2</v>
      </c>
      <c r="O40" s="575">
        <f t="shared" si="9"/>
        <v>8.14E-2</v>
      </c>
      <c r="P40" s="575">
        <f t="shared" si="9"/>
        <v>8.14E-2</v>
      </c>
      <c r="Q40" s="575">
        <f t="shared" si="9"/>
        <v>8.14E-2</v>
      </c>
      <c r="R40" s="575">
        <f t="shared" si="9"/>
        <v>8.14E-2</v>
      </c>
    </row>
    <row r="41" spans="2:18" x14ac:dyDescent="0.25">
      <c r="B41" s="283"/>
      <c r="C41" s="572"/>
      <c r="D41" s="575"/>
      <c r="E41" s="575"/>
      <c r="F41" s="575"/>
      <c r="G41" s="575"/>
      <c r="H41" s="575"/>
      <c r="I41" s="575"/>
      <c r="J41" s="575"/>
      <c r="K41" s="575"/>
      <c r="L41" s="575"/>
      <c r="M41" s="575"/>
      <c r="N41" s="575"/>
      <c r="O41" s="575"/>
      <c r="P41" s="575"/>
      <c r="Q41" s="575"/>
      <c r="R41" s="575"/>
    </row>
    <row r="42" spans="2:18" x14ac:dyDescent="0.25">
      <c r="B42" s="189" t="s">
        <v>237</v>
      </c>
      <c r="C42" s="576"/>
      <c r="D42" s="172"/>
      <c r="E42" s="165"/>
      <c r="F42" s="172"/>
      <c r="G42" s="172"/>
      <c r="H42" s="172"/>
      <c r="I42" s="172"/>
      <c r="J42" s="172"/>
      <c r="K42" s="172"/>
      <c r="L42" s="172"/>
      <c r="M42" s="168"/>
      <c r="N42" s="168"/>
      <c r="O42" s="168"/>
      <c r="P42" s="168"/>
      <c r="Q42" s="168"/>
      <c r="R42" s="168"/>
    </row>
    <row r="43" spans="2:18" x14ac:dyDescent="0.25">
      <c r="B43" s="188" t="s">
        <v>235</v>
      </c>
      <c r="C43" s="187" t="s">
        <v>231</v>
      </c>
      <c r="D43" s="190">
        <f>SUM(F43:R43)</f>
        <v>1242496.8985000001</v>
      </c>
      <c r="E43" s="183"/>
      <c r="F43" s="190">
        <f>F36*1000*F38</f>
        <v>89375.000000000015</v>
      </c>
      <c r="G43" s="190">
        <f>G36*1000*G38</f>
        <v>92950.000000000015</v>
      </c>
      <c r="H43" s="190">
        <f t="shared" ref="H43:R43" si="10">H36*1000*H38</f>
        <v>100100.00000000001</v>
      </c>
      <c r="I43" s="190">
        <f t="shared" si="10"/>
        <v>107250.00000000001</v>
      </c>
      <c r="J43" s="190">
        <f t="shared" si="10"/>
        <v>107250.00000000001</v>
      </c>
      <c r="K43" s="190">
        <f t="shared" si="10"/>
        <v>107250.00000000001</v>
      </c>
      <c r="L43" s="190">
        <f t="shared" si="10"/>
        <v>107250.00000000001</v>
      </c>
      <c r="M43" s="190">
        <f t="shared" si="10"/>
        <v>107250.00000000001</v>
      </c>
      <c r="N43" s="190">
        <f t="shared" si="10"/>
        <v>107250.00000000001</v>
      </c>
      <c r="O43" s="190">
        <f t="shared" si="10"/>
        <v>107250.00000000001</v>
      </c>
      <c r="P43" s="190">
        <f t="shared" si="10"/>
        <v>107250.00000000001</v>
      </c>
      <c r="Q43" s="190">
        <f t="shared" si="10"/>
        <v>57200.000000000007</v>
      </c>
      <c r="R43" s="190">
        <f t="shared" si="10"/>
        <v>44871.898500000003</v>
      </c>
    </row>
    <row r="44" spans="2:18" x14ac:dyDescent="0.25">
      <c r="B44" s="188" t="s">
        <v>352</v>
      </c>
      <c r="C44" s="187" t="s">
        <v>231</v>
      </c>
      <c r="D44" s="190">
        <f>SUM(F44:R44)</f>
        <v>351027.09580000001</v>
      </c>
      <c r="E44" s="183"/>
      <c r="F44" s="190">
        <f>F36*1000*F39</f>
        <v>25250</v>
      </c>
      <c r="G44" s="190">
        <f t="shared" ref="G44:R44" si="11">G36*1000*G39</f>
        <v>26260</v>
      </c>
      <c r="H44" s="190">
        <f t="shared" si="11"/>
        <v>28280</v>
      </c>
      <c r="I44" s="190">
        <f t="shared" si="11"/>
        <v>30300</v>
      </c>
      <c r="J44" s="190">
        <f t="shared" si="11"/>
        <v>30300</v>
      </c>
      <c r="K44" s="190">
        <f t="shared" si="11"/>
        <v>30300</v>
      </c>
      <c r="L44" s="190">
        <f t="shared" si="11"/>
        <v>30300</v>
      </c>
      <c r="M44" s="190">
        <f t="shared" si="11"/>
        <v>30300</v>
      </c>
      <c r="N44" s="190">
        <f t="shared" si="11"/>
        <v>30300</v>
      </c>
      <c r="O44" s="190">
        <f t="shared" si="11"/>
        <v>30300</v>
      </c>
      <c r="P44" s="190">
        <f t="shared" si="11"/>
        <v>30300</v>
      </c>
      <c r="Q44" s="190">
        <f t="shared" si="11"/>
        <v>16160</v>
      </c>
      <c r="R44" s="190">
        <f t="shared" si="11"/>
        <v>12677.095799999999</v>
      </c>
    </row>
    <row r="45" spans="2:18" x14ac:dyDescent="0.25">
      <c r="B45" s="188" t="s">
        <v>236</v>
      </c>
      <c r="C45" s="187" t="s">
        <v>231</v>
      </c>
      <c r="D45" s="190">
        <f>SUM(F45:R45)</f>
        <v>1414534.9306000001</v>
      </c>
      <c r="E45" s="183"/>
      <c r="F45" s="190">
        <f>F36*1000*F40</f>
        <v>101750</v>
      </c>
      <c r="G45" s="190">
        <f>G36*1000*G40</f>
        <v>105820</v>
      </c>
      <c r="H45" s="190">
        <f t="shared" ref="H45:R45" si="12">H36*1000*H40</f>
        <v>113960</v>
      </c>
      <c r="I45" s="190">
        <f t="shared" si="12"/>
        <v>122100</v>
      </c>
      <c r="J45" s="190">
        <f t="shared" si="12"/>
        <v>122100</v>
      </c>
      <c r="K45" s="190">
        <f t="shared" si="12"/>
        <v>122100</v>
      </c>
      <c r="L45" s="190">
        <f t="shared" si="12"/>
        <v>122100</v>
      </c>
      <c r="M45" s="190">
        <f t="shared" si="12"/>
        <v>122100</v>
      </c>
      <c r="N45" s="190">
        <f t="shared" si="12"/>
        <v>122100</v>
      </c>
      <c r="O45" s="190">
        <f t="shared" si="12"/>
        <v>122100</v>
      </c>
      <c r="P45" s="190">
        <f t="shared" si="12"/>
        <v>122100</v>
      </c>
      <c r="Q45" s="190">
        <f t="shared" si="12"/>
        <v>65120</v>
      </c>
      <c r="R45" s="190">
        <f t="shared" si="12"/>
        <v>51084.9306</v>
      </c>
    </row>
    <row r="46" spans="2:18" x14ac:dyDescent="0.25">
      <c r="B46" s="189" t="s">
        <v>238</v>
      </c>
      <c r="C46" s="577"/>
      <c r="D46" s="123"/>
      <c r="E46" s="191"/>
      <c r="F46" s="123"/>
      <c r="G46" s="167"/>
      <c r="H46" s="167"/>
      <c r="I46" s="167"/>
      <c r="J46" s="167"/>
      <c r="K46" s="167"/>
      <c r="L46" s="170"/>
      <c r="M46" s="168"/>
      <c r="N46" s="168"/>
      <c r="O46" s="168"/>
      <c r="P46" s="168"/>
      <c r="Q46" s="168"/>
      <c r="R46" s="168"/>
    </row>
    <row r="47" spans="2:18" x14ac:dyDescent="0.25">
      <c r="B47" s="192" t="s">
        <v>239</v>
      </c>
      <c r="C47" s="578"/>
      <c r="D47" s="193"/>
      <c r="E47" s="191"/>
      <c r="F47" s="193"/>
      <c r="G47" s="193"/>
      <c r="H47" s="193"/>
      <c r="I47" s="193"/>
      <c r="J47" s="193"/>
      <c r="K47" s="193"/>
      <c r="L47" s="193"/>
      <c r="M47" s="168"/>
      <c r="N47" s="168"/>
      <c r="O47" s="168"/>
      <c r="P47" s="168"/>
      <c r="Q47" s="168"/>
      <c r="R47" s="168"/>
    </row>
    <row r="48" spans="2:18" x14ac:dyDescent="0.25">
      <c r="B48" s="196" t="s">
        <v>219</v>
      </c>
      <c r="C48" s="185" t="s">
        <v>2</v>
      </c>
      <c r="D48" s="176">
        <f>'Данные по переработке'!H3/100</f>
        <v>0.87650000000000006</v>
      </c>
      <c r="E48" s="176"/>
      <c r="F48" s="176">
        <f>D48</f>
        <v>0.87650000000000006</v>
      </c>
      <c r="G48" s="176">
        <f>F48</f>
        <v>0.87650000000000006</v>
      </c>
      <c r="H48" s="176">
        <f t="shared" ref="H48:R48" si="13">G48</f>
        <v>0.87650000000000006</v>
      </c>
      <c r="I48" s="176">
        <f t="shared" si="13"/>
        <v>0.87650000000000006</v>
      </c>
      <c r="J48" s="176">
        <f t="shared" si="13"/>
        <v>0.87650000000000006</v>
      </c>
      <c r="K48" s="176">
        <f t="shared" si="13"/>
        <v>0.87650000000000006</v>
      </c>
      <c r="L48" s="176">
        <f t="shared" si="13"/>
        <v>0.87650000000000006</v>
      </c>
      <c r="M48" s="176">
        <f t="shared" si="13"/>
        <v>0.87650000000000006</v>
      </c>
      <c r="N48" s="176">
        <f t="shared" si="13"/>
        <v>0.87650000000000006</v>
      </c>
      <c r="O48" s="176">
        <f t="shared" si="13"/>
        <v>0.87650000000000006</v>
      </c>
      <c r="P48" s="176">
        <f t="shared" si="13"/>
        <v>0.87650000000000006</v>
      </c>
      <c r="Q48" s="176">
        <f t="shared" si="13"/>
        <v>0.87650000000000006</v>
      </c>
      <c r="R48" s="176">
        <f t="shared" si="13"/>
        <v>0.87650000000000006</v>
      </c>
    </row>
    <row r="49" spans="2:18" x14ac:dyDescent="0.25">
      <c r="B49" s="196" t="s">
        <v>222</v>
      </c>
      <c r="C49" s="185" t="s">
        <v>2</v>
      </c>
      <c r="D49" s="176">
        <f>'Данные по переработке'!K3/100</f>
        <v>0.49</v>
      </c>
      <c r="E49" s="176"/>
      <c r="F49" s="176">
        <f t="shared" ref="F49:F50" si="14">D49</f>
        <v>0.49</v>
      </c>
      <c r="G49" s="176">
        <f t="shared" ref="G49:R50" si="15">F49</f>
        <v>0.49</v>
      </c>
      <c r="H49" s="176">
        <f t="shared" si="15"/>
        <v>0.49</v>
      </c>
      <c r="I49" s="176">
        <f t="shared" si="15"/>
        <v>0.49</v>
      </c>
      <c r="J49" s="176">
        <f t="shared" si="15"/>
        <v>0.49</v>
      </c>
      <c r="K49" s="176">
        <f t="shared" si="15"/>
        <v>0.49</v>
      </c>
      <c r="L49" s="176">
        <f t="shared" si="15"/>
        <v>0.49</v>
      </c>
      <c r="M49" s="176">
        <f t="shared" si="15"/>
        <v>0.49</v>
      </c>
      <c r="N49" s="176">
        <f t="shared" si="15"/>
        <v>0.49</v>
      </c>
      <c r="O49" s="176">
        <f t="shared" si="15"/>
        <v>0.49</v>
      </c>
      <c r="P49" s="176">
        <f t="shared" si="15"/>
        <v>0.49</v>
      </c>
      <c r="Q49" s="176">
        <f t="shared" si="15"/>
        <v>0.49</v>
      </c>
      <c r="R49" s="176">
        <f t="shared" si="15"/>
        <v>0.49</v>
      </c>
    </row>
    <row r="50" spans="2:18" x14ac:dyDescent="0.25">
      <c r="B50" s="196" t="s">
        <v>224</v>
      </c>
      <c r="C50" s="185" t="s">
        <v>2</v>
      </c>
      <c r="D50" s="176">
        <f>'Данные по переработке'!L3/100</f>
        <v>0.5827</v>
      </c>
      <c r="E50" s="176"/>
      <c r="F50" s="176">
        <f t="shared" si="14"/>
        <v>0.5827</v>
      </c>
      <c r="G50" s="176">
        <f t="shared" si="15"/>
        <v>0.5827</v>
      </c>
      <c r="H50" s="176">
        <f t="shared" si="15"/>
        <v>0.5827</v>
      </c>
      <c r="I50" s="176">
        <f t="shared" si="15"/>
        <v>0.5827</v>
      </c>
      <c r="J50" s="176">
        <f t="shared" si="15"/>
        <v>0.5827</v>
      </c>
      <c r="K50" s="176">
        <f t="shared" si="15"/>
        <v>0.5827</v>
      </c>
      <c r="L50" s="176">
        <f t="shared" si="15"/>
        <v>0.5827</v>
      </c>
      <c r="M50" s="176">
        <f t="shared" si="15"/>
        <v>0.5827</v>
      </c>
      <c r="N50" s="176">
        <f t="shared" si="15"/>
        <v>0.5827</v>
      </c>
      <c r="O50" s="176">
        <f t="shared" si="15"/>
        <v>0.5827</v>
      </c>
      <c r="P50" s="176">
        <f t="shared" si="15"/>
        <v>0.5827</v>
      </c>
      <c r="Q50" s="176">
        <f t="shared" si="15"/>
        <v>0.5827</v>
      </c>
      <c r="R50" s="176">
        <f t="shared" si="15"/>
        <v>0.5827</v>
      </c>
    </row>
    <row r="51" spans="2:18" x14ac:dyDescent="0.25">
      <c r="B51" s="195" t="s">
        <v>353</v>
      </c>
      <c r="C51" s="578"/>
      <c r="D51" s="193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  <c r="R51" s="176"/>
    </row>
    <row r="52" spans="2:18" x14ac:dyDescent="0.25">
      <c r="B52" s="196" t="s">
        <v>221</v>
      </c>
      <c r="C52" s="185" t="s">
        <v>2</v>
      </c>
      <c r="D52" s="176">
        <f>'Данные по переработке'!I4/100</f>
        <v>0.65239999999999998</v>
      </c>
      <c r="E52" s="176"/>
      <c r="F52" s="176">
        <f>D52</f>
        <v>0.65239999999999998</v>
      </c>
      <c r="G52" s="176">
        <f>F52</f>
        <v>0.65239999999999998</v>
      </c>
      <c r="H52" s="176">
        <f t="shared" ref="H52:R53" si="16">G52</f>
        <v>0.65239999999999998</v>
      </c>
      <c r="I52" s="176">
        <f t="shared" si="16"/>
        <v>0.65239999999999998</v>
      </c>
      <c r="J52" s="176">
        <f t="shared" si="16"/>
        <v>0.65239999999999998</v>
      </c>
      <c r="K52" s="176">
        <f t="shared" si="16"/>
        <v>0.65239999999999998</v>
      </c>
      <c r="L52" s="176">
        <f t="shared" si="16"/>
        <v>0.65239999999999998</v>
      </c>
      <c r="M52" s="176">
        <f t="shared" si="16"/>
        <v>0.65239999999999998</v>
      </c>
      <c r="N52" s="176">
        <f t="shared" si="16"/>
        <v>0.65239999999999998</v>
      </c>
      <c r="O52" s="176">
        <f t="shared" si="16"/>
        <v>0.65239999999999998</v>
      </c>
      <c r="P52" s="176">
        <f t="shared" si="16"/>
        <v>0.65239999999999998</v>
      </c>
      <c r="Q52" s="176">
        <f t="shared" si="16"/>
        <v>0.65239999999999998</v>
      </c>
      <c r="R52" s="176">
        <f t="shared" si="16"/>
        <v>0.65239999999999998</v>
      </c>
    </row>
    <row r="53" spans="2:18" x14ac:dyDescent="0.25">
      <c r="B53" s="196" t="s">
        <v>222</v>
      </c>
      <c r="C53" s="185" t="s">
        <v>2</v>
      </c>
      <c r="D53" s="176">
        <f>'Данные по переработке'!K4/100</f>
        <v>0.1404</v>
      </c>
      <c r="F53" s="176">
        <f>D53</f>
        <v>0.1404</v>
      </c>
      <c r="G53" s="176">
        <f>F53</f>
        <v>0.1404</v>
      </c>
      <c r="H53" s="176">
        <f t="shared" si="16"/>
        <v>0.1404</v>
      </c>
      <c r="I53" s="176">
        <f t="shared" si="16"/>
        <v>0.1404</v>
      </c>
      <c r="J53" s="176">
        <f t="shared" si="16"/>
        <v>0.1404</v>
      </c>
      <c r="K53" s="176">
        <f t="shared" si="16"/>
        <v>0.1404</v>
      </c>
      <c r="L53" s="176">
        <f t="shared" si="16"/>
        <v>0.1404</v>
      </c>
      <c r="M53" s="176">
        <f t="shared" si="16"/>
        <v>0.1404</v>
      </c>
      <c r="N53" s="176">
        <f t="shared" si="16"/>
        <v>0.1404</v>
      </c>
      <c r="O53" s="176">
        <f t="shared" si="16"/>
        <v>0.1404</v>
      </c>
      <c r="P53" s="176">
        <f t="shared" si="16"/>
        <v>0.1404</v>
      </c>
      <c r="Q53" s="176">
        <f t="shared" si="16"/>
        <v>0.1404</v>
      </c>
      <c r="R53" s="176">
        <f t="shared" si="16"/>
        <v>0.1404</v>
      </c>
    </row>
    <row r="54" spans="2:18" x14ac:dyDescent="0.25">
      <c r="B54" s="196" t="s">
        <v>224</v>
      </c>
      <c r="C54" s="185" t="s">
        <v>2</v>
      </c>
      <c r="D54" s="176">
        <f>'Данные по переработке'!L4/100</f>
        <v>9.3000000000000013E-2</v>
      </c>
      <c r="E54" s="176"/>
      <c r="F54" s="176">
        <f t="shared" ref="F54" si="17">D54</f>
        <v>9.3000000000000013E-2</v>
      </c>
      <c r="G54" s="176">
        <f t="shared" ref="G54:R54" si="18">F54</f>
        <v>9.3000000000000013E-2</v>
      </c>
      <c r="H54" s="176">
        <f t="shared" si="18"/>
        <v>9.3000000000000013E-2</v>
      </c>
      <c r="I54" s="176">
        <f t="shared" si="18"/>
        <v>9.3000000000000013E-2</v>
      </c>
      <c r="J54" s="176">
        <f t="shared" si="18"/>
        <v>9.3000000000000013E-2</v>
      </c>
      <c r="K54" s="176">
        <f t="shared" si="18"/>
        <v>9.3000000000000013E-2</v>
      </c>
      <c r="L54" s="176">
        <f t="shared" si="18"/>
        <v>9.3000000000000013E-2</v>
      </c>
      <c r="M54" s="176">
        <f t="shared" si="18"/>
        <v>9.3000000000000013E-2</v>
      </c>
      <c r="N54" s="176">
        <f t="shared" si="18"/>
        <v>9.3000000000000013E-2</v>
      </c>
      <c r="O54" s="176">
        <f t="shared" si="18"/>
        <v>9.3000000000000013E-2</v>
      </c>
      <c r="P54" s="176">
        <f t="shared" si="18"/>
        <v>9.3000000000000013E-2</v>
      </c>
      <c r="Q54" s="176">
        <f t="shared" si="18"/>
        <v>9.3000000000000013E-2</v>
      </c>
      <c r="R54" s="176">
        <f t="shared" si="18"/>
        <v>9.3000000000000013E-2</v>
      </c>
    </row>
    <row r="55" spans="2:18" x14ac:dyDescent="0.25">
      <c r="B55" s="195" t="s">
        <v>240</v>
      </c>
      <c r="C55" s="578"/>
      <c r="D55" s="176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  <c r="R55" s="176"/>
    </row>
    <row r="56" spans="2:18" x14ac:dyDescent="0.25">
      <c r="B56" s="196" t="s">
        <v>220</v>
      </c>
      <c r="C56" s="185" t="s">
        <v>2</v>
      </c>
      <c r="D56" s="176">
        <f>'Данные по переработке'!J5/100</f>
        <v>0.85040000000000004</v>
      </c>
      <c r="E56" s="176"/>
      <c r="F56" s="176">
        <f>D56</f>
        <v>0.85040000000000004</v>
      </c>
      <c r="G56" s="176">
        <f>F56</f>
        <v>0.85040000000000004</v>
      </c>
      <c r="H56" s="176">
        <f t="shared" ref="H56:R56" si="19">G56</f>
        <v>0.85040000000000004</v>
      </c>
      <c r="I56" s="176">
        <f t="shared" si="19"/>
        <v>0.85040000000000004</v>
      </c>
      <c r="J56" s="176">
        <f t="shared" si="19"/>
        <v>0.85040000000000004</v>
      </c>
      <c r="K56" s="176">
        <f t="shared" si="19"/>
        <v>0.85040000000000004</v>
      </c>
      <c r="L56" s="176">
        <f t="shared" si="19"/>
        <v>0.85040000000000004</v>
      </c>
      <c r="M56" s="176">
        <f t="shared" si="19"/>
        <v>0.85040000000000004</v>
      </c>
      <c r="N56" s="176">
        <f t="shared" si="19"/>
        <v>0.85040000000000004</v>
      </c>
      <c r="O56" s="176">
        <f t="shared" si="19"/>
        <v>0.85040000000000004</v>
      </c>
      <c r="P56" s="176">
        <f t="shared" si="19"/>
        <v>0.85040000000000004</v>
      </c>
      <c r="Q56" s="176">
        <f t="shared" si="19"/>
        <v>0.85040000000000004</v>
      </c>
      <c r="R56" s="176">
        <f t="shared" si="19"/>
        <v>0.85040000000000004</v>
      </c>
    </row>
    <row r="57" spans="2:18" x14ac:dyDescent="0.25">
      <c r="B57" s="196" t="s">
        <v>224</v>
      </c>
      <c r="C57" s="185" t="s">
        <v>2</v>
      </c>
      <c r="D57" s="176">
        <f>'Данные по переработке'!L5/100</f>
        <v>0.1115</v>
      </c>
      <c r="E57" s="176"/>
      <c r="F57" s="176">
        <f t="shared" ref="F57" si="20">D57</f>
        <v>0.1115</v>
      </c>
      <c r="G57" s="176">
        <f t="shared" ref="G57:R57" si="21">F57</f>
        <v>0.1115</v>
      </c>
      <c r="H57" s="176">
        <f t="shared" si="21"/>
        <v>0.1115</v>
      </c>
      <c r="I57" s="176">
        <f t="shared" si="21"/>
        <v>0.1115</v>
      </c>
      <c r="J57" s="176">
        <f t="shared" si="21"/>
        <v>0.1115</v>
      </c>
      <c r="K57" s="176">
        <f t="shared" si="21"/>
        <v>0.1115</v>
      </c>
      <c r="L57" s="176">
        <f t="shared" si="21"/>
        <v>0.1115</v>
      </c>
      <c r="M57" s="176">
        <f t="shared" si="21"/>
        <v>0.1115</v>
      </c>
      <c r="N57" s="176">
        <f t="shared" si="21"/>
        <v>0.1115</v>
      </c>
      <c r="O57" s="176">
        <f t="shared" si="21"/>
        <v>0.1115</v>
      </c>
      <c r="P57" s="176">
        <f t="shared" si="21"/>
        <v>0.1115</v>
      </c>
      <c r="Q57" s="176">
        <f t="shared" si="21"/>
        <v>0.1115</v>
      </c>
      <c r="R57" s="176">
        <f t="shared" si="21"/>
        <v>0.1115</v>
      </c>
    </row>
    <row r="58" spans="2:18" x14ac:dyDescent="0.25">
      <c r="B58" s="194" t="s">
        <v>241</v>
      </c>
      <c r="C58" s="572"/>
      <c r="D58" s="172"/>
      <c r="E58" s="172"/>
      <c r="F58" s="172"/>
      <c r="G58" s="172"/>
      <c r="H58" s="172"/>
      <c r="I58" s="172"/>
      <c r="J58" s="172"/>
      <c r="K58" s="172"/>
      <c r="L58" s="172"/>
      <c r="M58" s="168"/>
      <c r="N58" s="168"/>
      <c r="O58" s="168"/>
      <c r="P58" s="168"/>
      <c r="Q58" s="168"/>
      <c r="R58" s="168"/>
    </row>
    <row r="59" spans="2:18" x14ac:dyDescent="0.25">
      <c r="B59" s="195" t="s">
        <v>242</v>
      </c>
      <c r="C59" s="578"/>
      <c r="D59" s="170"/>
      <c r="E59" s="170"/>
      <c r="F59" s="123"/>
      <c r="G59" s="167"/>
      <c r="H59" s="167"/>
      <c r="I59" s="167"/>
      <c r="J59" s="167"/>
      <c r="K59" s="167"/>
      <c r="L59" s="170"/>
      <c r="M59" s="168"/>
      <c r="N59" s="168"/>
      <c r="O59" s="168"/>
      <c r="P59" s="168"/>
      <c r="Q59" s="168"/>
      <c r="R59" s="168"/>
    </row>
    <row r="60" spans="2:18" x14ac:dyDescent="0.25">
      <c r="B60" s="196" t="s">
        <v>219</v>
      </c>
      <c r="C60" s="185" t="s">
        <v>231</v>
      </c>
      <c r="D60" s="165">
        <f>SUM(F60:R60)</f>
        <v>286413.02849999996</v>
      </c>
      <c r="E60" s="183"/>
      <c r="F60" s="190">
        <f t="shared" ref="F60:R60" si="22">F30*F48</f>
        <v>20602.195830903718</v>
      </c>
      <c r="G60" s="190">
        <f t="shared" si="22"/>
        <v>21426.283664139868</v>
      </c>
      <c r="H60" s="190">
        <f t="shared" si="22"/>
        <v>23074.459330612161</v>
      </c>
      <c r="I60" s="190">
        <f t="shared" si="22"/>
        <v>24722.63499708446</v>
      </c>
      <c r="J60" s="190">
        <f t="shared" si="22"/>
        <v>24722.63499708446</v>
      </c>
      <c r="K60" s="190">
        <f t="shared" si="22"/>
        <v>24722.63499708446</v>
      </c>
      <c r="L60" s="190">
        <f t="shared" si="22"/>
        <v>24722.63499708446</v>
      </c>
      <c r="M60" s="190">
        <f t="shared" si="22"/>
        <v>24722.63499708446</v>
      </c>
      <c r="N60" s="190">
        <f t="shared" si="22"/>
        <v>24722.63499708446</v>
      </c>
      <c r="O60" s="190">
        <f t="shared" si="22"/>
        <v>24722.63499708446</v>
      </c>
      <c r="P60" s="190">
        <f t="shared" si="22"/>
        <v>24722.63499708446</v>
      </c>
      <c r="Q60" s="190">
        <f t="shared" si="22"/>
        <v>13185.405331778378</v>
      </c>
      <c r="R60" s="190">
        <f t="shared" si="22"/>
        <v>10343.60436589018</v>
      </c>
    </row>
    <row r="61" spans="2:18" x14ac:dyDescent="0.25">
      <c r="B61" s="196" t="s">
        <v>222</v>
      </c>
      <c r="C61" s="185" t="s">
        <v>71</v>
      </c>
      <c r="D61" s="165">
        <f>SUM(F61:R61)</f>
        <v>6721.8199999999979</v>
      </c>
      <c r="E61" s="183"/>
      <c r="F61" s="190">
        <f t="shared" ref="F61:R62" si="23">F33*F49</f>
        <v>483.51240411567107</v>
      </c>
      <c r="G61" s="190">
        <f t="shared" si="23"/>
        <v>502.85290028029789</v>
      </c>
      <c r="H61" s="190">
        <f t="shared" si="23"/>
        <v>541.53389260955157</v>
      </c>
      <c r="I61" s="190">
        <f t="shared" si="23"/>
        <v>580.21488493880531</v>
      </c>
      <c r="J61" s="190">
        <f t="shared" si="23"/>
        <v>580.21488493880531</v>
      </c>
      <c r="K61" s="190">
        <f t="shared" si="23"/>
        <v>580.21488493880531</v>
      </c>
      <c r="L61" s="190">
        <f t="shared" si="23"/>
        <v>580.21488493880531</v>
      </c>
      <c r="M61" s="190">
        <f t="shared" si="23"/>
        <v>580.21488493880531</v>
      </c>
      <c r="N61" s="190">
        <f t="shared" si="23"/>
        <v>580.21488493880531</v>
      </c>
      <c r="O61" s="190">
        <f t="shared" si="23"/>
        <v>580.21488493880531</v>
      </c>
      <c r="P61" s="190">
        <f t="shared" si="23"/>
        <v>580.21488493880531</v>
      </c>
      <c r="Q61" s="190">
        <f t="shared" si="23"/>
        <v>309.44793863402947</v>
      </c>
      <c r="R61" s="190">
        <f t="shared" si="23"/>
        <v>242.75378485000698</v>
      </c>
    </row>
    <row r="62" spans="2:18" x14ac:dyDescent="0.25">
      <c r="B62" s="196" t="s">
        <v>224</v>
      </c>
      <c r="C62" s="185" t="s">
        <v>71</v>
      </c>
      <c r="D62" s="165">
        <f>SUM(F62:R62)</f>
        <v>911353.28859999985</v>
      </c>
      <c r="E62" s="183"/>
      <c r="F62" s="190">
        <f t="shared" si="23"/>
        <v>65555.254316495979</v>
      </c>
      <c r="G62" s="190">
        <f t="shared" si="23"/>
        <v>68177.464489155827</v>
      </c>
      <c r="H62" s="190">
        <f t="shared" si="23"/>
        <v>73421.884834475495</v>
      </c>
      <c r="I62" s="190">
        <f t="shared" si="23"/>
        <v>78666.305179795178</v>
      </c>
      <c r="J62" s="190">
        <f t="shared" si="23"/>
        <v>78666.305179795178</v>
      </c>
      <c r="K62" s="190">
        <f t="shared" si="23"/>
        <v>78666.305179795178</v>
      </c>
      <c r="L62" s="190">
        <f t="shared" si="23"/>
        <v>78666.305179795178</v>
      </c>
      <c r="M62" s="190">
        <f t="shared" si="23"/>
        <v>78666.305179795178</v>
      </c>
      <c r="N62" s="190">
        <f t="shared" si="23"/>
        <v>78666.305179795178</v>
      </c>
      <c r="O62" s="190">
        <f t="shared" si="23"/>
        <v>78666.305179795178</v>
      </c>
      <c r="P62" s="190">
        <f t="shared" si="23"/>
        <v>78666.305179795178</v>
      </c>
      <c r="Q62" s="190">
        <f t="shared" si="23"/>
        <v>41955.362762557423</v>
      </c>
      <c r="R62" s="190">
        <f t="shared" si="23"/>
        <v>32912.880758953783</v>
      </c>
    </row>
    <row r="63" spans="2:18" x14ac:dyDescent="0.25">
      <c r="B63" s="195" t="s">
        <v>354</v>
      </c>
      <c r="C63" s="578"/>
      <c r="D63" s="165"/>
      <c r="E63" s="183"/>
      <c r="F63" s="190"/>
      <c r="G63" s="190"/>
      <c r="H63" s="190"/>
      <c r="I63" s="190"/>
      <c r="J63" s="190"/>
      <c r="K63" s="190"/>
      <c r="L63" s="190"/>
      <c r="M63" s="190"/>
      <c r="N63" s="190"/>
      <c r="O63" s="190"/>
      <c r="P63" s="190"/>
      <c r="Q63" s="190"/>
      <c r="R63" s="190"/>
    </row>
    <row r="64" spans="2:18" x14ac:dyDescent="0.25">
      <c r="B64" s="196" t="s">
        <v>221</v>
      </c>
      <c r="C64" s="185" t="s">
        <v>231</v>
      </c>
      <c r="D64" s="165">
        <f>SUM(F64:R64)</f>
        <v>132824.07320000001</v>
      </c>
      <c r="E64" s="183"/>
      <c r="F64" s="190">
        <f>F32*F52</f>
        <v>9554.2705632355337</v>
      </c>
      <c r="G64" s="190">
        <f t="shared" ref="G64:R66" si="24">G32*G52</f>
        <v>9936.4413857649542</v>
      </c>
      <c r="H64" s="190">
        <f t="shared" si="24"/>
        <v>10700.783030823799</v>
      </c>
      <c r="I64" s="190">
        <f t="shared" si="24"/>
        <v>11465.12467588264</v>
      </c>
      <c r="J64" s="190">
        <f t="shared" si="24"/>
        <v>11465.12467588264</v>
      </c>
      <c r="K64" s="190">
        <f t="shared" si="24"/>
        <v>11465.12467588264</v>
      </c>
      <c r="L64" s="190">
        <f t="shared" si="24"/>
        <v>11465.12467588264</v>
      </c>
      <c r="M64" s="190">
        <f t="shared" si="24"/>
        <v>11465.12467588264</v>
      </c>
      <c r="N64" s="190">
        <f t="shared" si="24"/>
        <v>11465.12467588264</v>
      </c>
      <c r="O64" s="190">
        <f t="shared" si="24"/>
        <v>11465.12467588264</v>
      </c>
      <c r="P64" s="190">
        <f t="shared" si="24"/>
        <v>11465.12467588264</v>
      </c>
      <c r="Q64" s="190">
        <f t="shared" si="24"/>
        <v>6114.7331604707415</v>
      </c>
      <c r="R64" s="190">
        <f t="shared" si="24"/>
        <v>4796.8476526438335</v>
      </c>
    </row>
    <row r="65" spans="2:18" x14ac:dyDescent="0.25">
      <c r="B65" s="196" t="s">
        <v>222</v>
      </c>
      <c r="C65" s="185" t="s">
        <v>71</v>
      </c>
      <c r="D65" s="165">
        <f>SUM(F65:R65)</f>
        <v>1926.0071999999996</v>
      </c>
      <c r="E65" s="183"/>
      <c r="F65" s="190">
        <f>F33*F53</f>
        <v>138.54110517926574</v>
      </c>
      <c r="G65" s="190">
        <f t="shared" si="24"/>
        <v>144.08274938643638</v>
      </c>
      <c r="H65" s="190">
        <f t="shared" si="24"/>
        <v>155.16603780077764</v>
      </c>
      <c r="I65" s="190">
        <f t="shared" si="24"/>
        <v>166.24932621511891</v>
      </c>
      <c r="J65" s="190">
        <f t="shared" si="24"/>
        <v>166.24932621511891</v>
      </c>
      <c r="K65" s="190">
        <f t="shared" si="24"/>
        <v>166.24932621511891</v>
      </c>
      <c r="L65" s="190">
        <f t="shared" si="24"/>
        <v>166.24932621511891</v>
      </c>
      <c r="M65" s="190">
        <f t="shared" si="24"/>
        <v>166.24932621511891</v>
      </c>
      <c r="N65" s="190">
        <f t="shared" si="24"/>
        <v>166.24932621511891</v>
      </c>
      <c r="O65" s="190">
        <f t="shared" si="24"/>
        <v>166.24932621511891</v>
      </c>
      <c r="P65" s="190">
        <f t="shared" si="24"/>
        <v>166.24932621511891</v>
      </c>
      <c r="Q65" s="190">
        <f t="shared" si="24"/>
        <v>88.666307314730076</v>
      </c>
      <c r="R65" s="190">
        <f t="shared" si="24"/>
        <v>69.556390597838728</v>
      </c>
    </row>
    <row r="66" spans="2:18" x14ac:dyDescent="0.25">
      <c r="B66" s="196" t="s">
        <v>224</v>
      </c>
      <c r="C66" s="185" t="s">
        <v>71</v>
      </c>
      <c r="D66" s="165">
        <f>SUM(F66:R66)</f>
        <v>145453.674</v>
      </c>
      <c r="E66" s="183"/>
      <c r="F66" s="190">
        <f>F34*F54</f>
        <v>10462.740091700922</v>
      </c>
      <c r="G66" s="190">
        <f t="shared" si="24"/>
        <v>10881.249695368959</v>
      </c>
      <c r="H66" s="190">
        <f t="shared" si="24"/>
        <v>11718.268902705031</v>
      </c>
      <c r="I66" s="190">
        <f t="shared" si="24"/>
        <v>12555.288110041105</v>
      </c>
      <c r="J66" s="190">
        <f t="shared" si="24"/>
        <v>12555.288110041105</v>
      </c>
      <c r="K66" s="190">
        <f t="shared" si="24"/>
        <v>12555.288110041105</v>
      </c>
      <c r="L66" s="190">
        <f t="shared" si="24"/>
        <v>12555.288110041105</v>
      </c>
      <c r="M66" s="190">
        <f t="shared" si="24"/>
        <v>12555.288110041105</v>
      </c>
      <c r="N66" s="190">
        <f t="shared" si="24"/>
        <v>12555.288110041105</v>
      </c>
      <c r="O66" s="190">
        <f t="shared" si="24"/>
        <v>12555.288110041105</v>
      </c>
      <c r="P66" s="190">
        <f t="shared" si="24"/>
        <v>12555.288110041105</v>
      </c>
      <c r="Q66" s="190">
        <f t="shared" si="24"/>
        <v>6696.1536586885886</v>
      </c>
      <c r="R66" s="190">
        <f t="shared" si="24"/>
        <v>5252.9567712076578</v>
      </c>
    </row>
    <row r="67" spans="2:18" x14ac:dyDescent="0.25">
      <c r="B67" s="195" t="s">
        <v>243</v>
      </c>
      <c r="C67" s="578"/>
      <c r="D67" s="165"/>
      <c r="E67" s="183"/>
      <c r="F67" s="167"/>
      <c r="G67" s="167"/>
      <c r="H67" s="167"/>
      <c r="I67" s="167"/>
      <c r="J67" s="167"/>
      <c r="K67" s="167"/>
      <c r="L67" s="197"/>
      <c r="M67" s="167"/>
      <c r="N67" s="197"/>
      <c r="O67" s="167"/>
      <c r="P67" s="197"/>
      <c r="Q67" s="167"/>
      <c r="R67" s="197"/>
    </row>
    <row r="68" spans="2:18" x14ac:dyDescent="0.25">
      <c r="B68" s="196" t="s">
        <v>220</v>
      </c>
      <c r="C68" s="185" t="s">
        <v>231</v>
      </c>
      <c r="D68" s="165">
        <f>SUM(F68:R68)</f>
        <v>561070.95919999992</v>
      </c>
      <c r="E68" s="183"/>
      <c r="F68" s="183">
        <f t="shared" ref="F68:R68" si="25">F31*F56</f>
        <v>40358.826681208011</v>
      </c>
      <c r="G68" s="183">
        <f t="shared" si="25"/>
        <v>41973.179748456329</v>
      </c>
      <c r="H68" s="183">
        <f t="shared" si="25"/>
        <v>45201.885882952971</v>
      </c>
      <c r="I68" s="183">
        <f t="shared" si="25"/>
        <v>48430.592017449606</v>
      </c>
      <c r="J68" s="183">
        <f t="shared" si="25"/>
        <v>48430.592017449606</v>
      </c>
      <c r="K68" s="183">
        <f t="shared" si="25"/>
        <v>48430.592017449606</v>
      </c>
      <c r="L68" s="183">
        <f t="shared" si="25"/>
        <v>48430.592017449606</v>
      </c>
      <c r="M68" s="183">
        <f t="shared" si="25"/>
        <v>48430.592017449606</v>
      </c>
      <c r="N68" s="183">
        <f t="shared" si="25"/>
        <v>48430.592017449606</v>
      </c>
      <c r="O68" s="183">
        <f t="shared" si="25"/>
        <v>48430.592017449606</v>
      </c>
      <c r="P68" s="183">
        <f t="shared" si="25"/>
        <v>48430.592017449606</v>
      </c>
      <c r="Q68" s="183">
        <f t="shared" si="25"/>
        <v>25829.649075973124</v>
      </c>
      <c r="R68" s="183">
        <f t="shared" si="25"/>
        <v>20262.681671812676</v>
      </c>
    </row>
    <row r="69" spans="2:18" x14ac:dyDescent="0.25">
      <c r="B69" s="196" t="s">
        <v>224</v>
      </c>
      <c r="C69" s="185" t="s">
        <v>71</v>
      </c>
      <c r="D69" s="165">
        <f>SUM(F69:R69)</f>
        <v>174388.00699999998</v>
      </c>
      <c r="E69" s="183"/>
      <c r="F69" s="183">
        <f>F34*F57</f>
        <v>12544.037851877985</v>
      </c>
      <c r="G69" s="183">
        <f t="shared" ref="G69:R69" si="26">G34*G57</f>
        <v>13045.799365953106</v>
      </c>
      <c r="H69" s="183">
        <f t="shared" si="26"/>
        <v>14049.322394103343</v>
      </c>
      <c r="I69" s="183">
        <f t="shared" si="26"/>
        <v>15052.845422253582</v>
      </c>
      <c r="J69" s="183">
        <f t="shared" si="26"/>
        <v>15052.845422253582</v>
      </c>
      <c r="K69" s="183">
        <f t="shared" si="26"/>
        <v>15052.845422253582</v>
      </c>
      <c r="L69" s="183">
        <f t="shared" si="26"/>
        <v>15052.845422253582</v>
      </c>
      <c r="M69" s="183">
        <f t="shared" si="26"/>
        <v>15052.845422253582</v>
      </c>
      <c r="N69" s="183">
        <f t="shared" si="26"/>
        <v>15052.845422253582</v>
      </c>
      <c r="O69" s="183">
        <f t="shared" si="26"/>
        <v>15052.845422253582</v>
      </c>
      <c r="P69" s="183">
        <f t="shared" si="26"/>
        <v>15052.845422253582</v>
      </c>
      <c r="Q69" s="183">
        <f t="shared" si="26"/>
        <v>8028.1842252019096</v>
      </c>
      <c r="R69" s="183">
        <f t="shared" si="26"/>
        <v>6297.8997848349873</v>
      </c>
    </row>
    <row r="70" spans="2:18" x14ac:dyDescent="0.25">
      <c r="B70" s="189" t="s">
        <v>244</v>
      </c>
      <c r="C70" s="572"/>
      <c r="D70" s="193"/>
      <c r="E70" s="193"/>
      <c r="F70" s="193"/>
      <c r="G70" s="193"/>
      <c r="H70" s="193"/>
      <c r="I70" s="193"/>
      <c r="J70" s="193"/>
      <c r="K70" s="193"/>
      <c r="L70" s="177"/>
      <c r="M70" s="193"/>
      <c r="N70" s="177"/>
      <c r="O70" s="193"/>
      <c r="P70" s="177"/>
      <c r="Q70" s="193"/>
      <c r="R70" s="177"/>
    </row>
    <row r="71" spans="2:18" x14ac:dyDescent="0.25">
      <c r="B71" s="195" t="s">
        <v>242</v>
      </c>
      <c r="C71" s="578"/>
      <c r="D71" s="191"/>
      <c r="E71" s="191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72"/>
      <c r="R71" s="172"/>
    </row>
    <row r="72" spans="2:18" x14ac:dyDescent="0.25">
      <c r="B72" s="196" t="s">
        <v>219</v>
      </c>
      <c r="C72" s="185" t="s">
        <v>2</v>
      </c>
      <c r="D72" s="172">
        <f>AVERAGE(F72:R72)</f>
        <v>23.051407922689467</v>
      </c>
      <c r="E72" s="172"/>
      <c r="F72" s="172">
        <f>F60/F43*100</f>
        <v>23.051407922689471</v>
      </c>
      <c r="G72" s="172">
        <f>G60/G43*100</f>
        <v>23.051407922689474</v>
      </c>
      <c r="H72" s="172">
        <f t="shared" ref="H72:R72" si="27">H60/H43*100</f>
        <v>23.051407922689467</v>
      </c>
      <c r="I72" s="172">
        <f t="shared" si="27"/>
        <v>23.051407922689471</v>
      </c>
      <c r="J72" s="172">
        <f t="shared" si="27"/>
        <v>23.051407922689471</v>
      </c>
      <c r="K72" s="172">
        <f t="shared" si="27"/>
        <v>23.051407922689471</v>
      </c>
      <c r="L72" s="172">
        <f t="shared" si="27"/>
        <v>23.051407922689471</v>
      </c>
      <c r="M72" s="172">
        <f t="shared" si="27"/>
        <v>23.051407922689471</v>
      </c>
      <c r="N72" s="172">
        <f t="shared" si="27"/>
        <v>23.051407922689471</v>
      </c>
      <c r="O72" s="172">
        <f t="shared" si="27"/>
        <v>23.051407922689471</v>
      </c>
      <c r="P72" s="172">
        <f t="shared" si="27"/>
        <v>23.051407922689471</v>
      </c>
      <c r="Q72" s="172">
        <f t="shared" si="27"/>
        <v>23.051407922689471</v>
      </c>
      <c r="R72" s="172">
        <f t="shared" si="27"/>
        <v>23.051407922689474</v>
      </c>
    </row>
    <row r="73" spans="2:18" x14ac:dyDescent="0.25">
      <c r="B73" s="196" t="s">
        <v>222</v>
      </c>
      <c r="C73" s="185" t="s">
        <v>223</v>
      </c>
      <c r="D73" s="172">
        <f>AVERAGE(F73:R73)</f>
        <v>5.4099289970984179</v>
      </c>
      <c r="E73" s="172"/>
      <c r="F73" s="180">
        <f>F61/F43*1000</f>
        <v>5.4099289970984161</v>
      </c>
      <c r="G73" s="180">
        <f>G61/G43*1000</f>
        <v>5.4099289970984161</v>
      </c>
      <c r="H73" s="180">
        <f t="shared" ref="H73:R73" si="28">H61/H43*1000</f>
        <v>5.4099289970984161</v>
      </c>
      <c r="I73" s="180">
        <f t="shared" si="28"/>
        <v>5.409928997098417</v>
      </c>
      <c r="J73" s="180">
        <f t="shared" si="28"/>
        <v>5.409928997098417</v>
      </c>
      <c r="K73" s="180">
        <f t="shared" si="28"/>
        <v>5.409928997098417</v>
      </c>
      <c r="L73" s="180">
        <f t="shared" si="28"/>
        <v>5.409928997098417</v>
      </c>
      <c r="M73" s="180">
        <f t="shared" si="28"/>
        <v>5.409928997098417</v>
      </c>
      <c r="N73" s="180">
        <f t="shared" si="28"/>
        <v>5.409928997098417</v>
      </c>
      <c r="O73" s="180">
        <f t="shared" si="28"/>
        <v>5.409928997098417</v>
      </c>
      <c r="P73" s="180">
        <f t="shared" si="28"/>
        <v>5.409928997098417</v>
      </c>
      <c r="Q73" s="180">
        <f t="shared" si="28"/>
        <v>5.4099289970984161</v>
      </c>
      <c r="R73" s="180">
        <f t="shared" si="28"/>
        <v>5.409928997098417</v>
      </c>
    </row>
    <row r="74" spans="2:18" x14ac:dyDescent="0.25">
      <c r="B74" s="196" t="s">
        <v>224</v>
      </c>
      <c r="C74" s="185" t="s">
        <v>223</v>
      </c>
      <c r="D74" s="172">
        <f>AVERAGE(F74:R74)</f>
        <v>733.48536298177328</v>
      </c>
      <c r="E74" s="172"/>
      <c r="F74" s="172">
        <f>F62/F43*1000</f>
        <v>733.48536298177305</v>
      </c>
      <c r="G74" s="172">
        <f>G62/G43*1000</f>
        <v>733.48536298177316</v>
      </c>
      <c r="H74" s="172">
        <f t="shared" ref="H74:R74" si="29">H62/H43*1000</f>
        <v>733.48536298177305</v>
      </c>
      <c r="I74" s="172">
        <f t="shared" si="29"/>
        <v>733.48536298177316</v>
      </c>
      <c r="J74" s="172">
        <f t="shared" si="29"/>
        <v>733.48536298177316</v>
      </c>
      <c r="K74" s="172">
        <f t="shared" si="29"/>
        <v>733.48536298177316</v>
      </c>
      <c r="L74" s="172">
        <f t="shared" si="29"/>
        <v>733.48536298177316</v>
      </c>
      <c r="M74" s="172">
        <f t="shared" si="29"/>
        <v>733.48536298177316</v>
      </c>
      <c r="N74" s="172">
        <f t="shared" si="29"/>
        <v>733.48536298177316</v>
      </c>
      <c r="O74" s="172">
        <f t="shared" si="29"/>
        <v>733.48536298177316</v>
      </c>
      <c r="P74" s="172">
        <f t="shared" si="29"/>
        <v>733.48536298177316</v>
      </c>
      <c r="Q74" s="172">
        <f t="shared" si="29"/>
        <v>733.48536298177305</v>
      </c>
      <c r="R74" s="172">
        <f t="shared" si="29"/>
        <v>733.48536298177316</v>
      </c>
    </row>
    <row r="75" spans="2:18" x14ac:dyDescent="0.25">
      <c r="B75" s="195" t="s">
        <v>354</v>
      </c>
      <c r="C75" s="185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  <c r="R75" s="172"/>
    </row>
    <row r="76" spans="2:18" x14ac:dyDescent="0.25">
      <c r="B76" s="196" t="s">
        <v>221</v>
      </c>
      <c r="C76" s="185" t="s">
        <v>2</v>
      </c>
      <c r="D76" s="172">
        <f>AVERAGE(F76:R76)</f>
        <v>37.8386952999427</v>
      </c>
      <c r="E76" s="172"/>
      <c r="F76" s="172">
        <f>F64/F44*100</f>
        <v>37.838695299942707</v>
      </c>
      <c r="G76" s="172">
        <f t="shared" ref="G76:R76" si="30">G64/G44*100</f>
        <v>37.838695299942707</v>
      </c>
      <c r="H76" s="172">
        <f t="shared" si="30"/>
        <v>37.838695299942707</v>
      </c>
      <c r="I76" s="172">
        <f t="shared" si="30"/>
        <v>37.838695299942707</v>
      </c>
      <c r="J76" s="172">
        <f t="shared" si="30"/>
        <v>37.838695299942707</v>
      </c>
      <c r="K76" s="172">
        <f t="shared" si="30"/>
        <v>37.838695299942707</v>
      </c>
      <c r="L76" s="172">
        <f t="shared" si="30"/>
        <v>37.838695299942707</v>
      </c>
      <c r="M76" s="172">
        <f t="shared" si="30"/>
        <v>37.838695299942707</v>
      </c>
      <c r="N76" s="172">
        <f t="shared" si="30"/>
        <v>37.838695299942707</v>
      </c>
      <c r="O76" s="172">
        <f t="shared" si="30"/>
        <v>37.838695299942707</v>
      </c>
      <c r="P76" s="172">
        <f t="shared" si="30"/>
        <v>37.838695299942707</v>
      </c>
      <c r="Q76" s="172">
        <f t="shared" si="30"/>
        <v>37.838695299942707</v>
      </c>
      <c r="R76" s="172">
        <f t="shared" si="30"/>
        <v>37.838695299942707</v>
      </c>
    </row>
    <row r="77" spans="2:18" x14ac:dyDescent="0.25">
      <c r="B77" s="196" t="s">
        <v>222</v>
      </c>
      <c r="C77" s="185" t="s">
        <v>223</v>
      </c>
      <c r="D77" s="172">
        <f>AVERAGE(F77:R77)</f>
        <v>0.54867764427431975</v>
      </c>
      <c r="E77" s="172"/>
      <c r="F77" s="172">
        <f>F65/F44*100</f>
        <v>0.54867764427431975</v>
      </c>
      <c r="G77" s="172">
        <f t="shared" ref="G77:R77" si="31">G65/G44*100</f>
        <v>0.54867764427431975</v>
      </c>
      <c r="H77" s="172">
        <f t="shared" si="31"/>
        <v>0.54867764427431986</v>
      </c>
      <c r="I77" s="172">
        <f t="shared" si="31"/>
        <v>0.54867764427431986</v>
      </c>
      <c r="J77" s="172">
        <f t="shared" si="31"/>
        <v>0.54867764427431986</v>
      </c>
      <c r="K77" s="172">
        <f t="shared" si="31"/>
        <v>0.54867764427431986</v>
      </c>
      <c r="L77" s="172">
        <f t="shared" si="31"/>
        <v>0.54867764427431986</v>
      </c>
      <c r="M77" s="172">
        <f t="shared" si="31"/>
        <v>0.54867764427431986</v>
      </c>
      <c r="N77" s="172">
        <f t="shared" si="31"/>
        <v>0.54867764427431986</v>
      </c>
      <c r="O77" s="172">
        <f t="shared" si="31"/>
        <v>0.54867764427431986</v>
      </c>
      <c r="P77" s="172">
        <f t="shared" si="31"/>
        <v>0.54867764427431986</v>
      </c>
      <c r="Q77" s="172">
        <f t="shared" si="31"/>
        <v>0.54867764427431975</v>
      </c>
      <c r="R77" s="172">
        <f t="shared" si="31"/>
        <v>0.54867764427431975</v>
      </c>
    </row>
    <row r="78" spans="2:18" x14ac:dyDescent="0.25">
      <c r="B78" s="196" t="s">
        <v>224</v>
      </c>
      <c r="C78" s="185" t="s">
        <v>223</v>
      </c>
      <c r="D78" s="172">
        <f>AVERAGE(F78:R78)</f>
        <v>41.436594422577905</v>
      </c>
      <c r="E78" s="172"/>
      <c r="F78" s="172">
        <f>F66/F44*100</f>
        <v>41.436594422577912</v>
      </c>
      <c r="G78" s="172">
        <f t="shared" ref="G78:R78" si="32">G66/G44*100</f>
        <v>41.436594422577912</v>
      </c>
      <c r="H78" s="172">
        <f t="shared" si="32"/>
        <v>41.436594422577905</v>
      </c>
      <c r="I78" s="172">
        <f t="shared" si="32"/>
        <v>41.436594422577905</v>
      </c>
      <c r="J78" s="172">
        <f t="shared" si="32"/>
        <v>41.436594422577905</v>
      </c>
      <c r="K78" s="172">
        <f t="shared" si="32"/>
        <v>41.436594422577905</v>
      </c>
      <c r="L78" s="172">
        <f t="shared" si="32"/>
        <v>41.436594422577905</v>
      </c>
      <c r="M78" s="172">
        <f t="shared" si="32"/>
        <v>41.436594422577905</v>
      </c>
      <c r="N78" s="172">
        <f t="shared" si="32"/>
        <v>41.436594422577905</v>
      </c>
      <c r="O78" s="172">
        <f t="shared" si="32"/>
        <v>41.436594422577905</v>
      </c>
      <c r="P78" s="172">
        <f t="shared" si="32"/>
        <v>41.436594422577905</v>
      </c>
      <c r="Q78" s="172">
        <f t="shared" si="32"/>
        <v>41.436594422577897</v>
      </c>
      <c r="R78" s="172">
        <f t="shared" si="32"/>
        <v>41.436594422577905</v>
      </c>
    </row>
    <row r="79" spans="2:18" x14ac:dyDescent="0.25">
      <c r="B79" s="195" t="s">
        <v>243</v>
      </c>
      <c r="C79" s="578"/>
      <c r="D79" s="172"/>
      <c r="E79" s="172"/>
      <c r="F79" s="165"/>
      <c r="G79" s="193"/>
      <c r="H79" s="198"/>
      <c r="I79" s="167"/>
      <c r="J79" s="167"/>
      <c r="K79" s="167"/>
      <c r="L79" s="197"/>
      <c r="M79" s="167"/>
      <c r="N79" s="197"/>
      <c r="O79" s="167"/>
      <c r="P79" s="197"/>
      <c r="Q79" s="167"/>
      <c r="R79" s="197"/>
    </row>
    <row r="80" spans="2:18" x14ac:dyDescent="0.25">
      <c r="B80" s="196" t="s">
        <v>220</v>
      </c>
      <c r="C80" s="185" t="s">
        <v>2</v>
      </c>
      <c r="D80" s="172">
        <f>AVERAGE(F80:R80)</f>
        <v>39.664694526985741</v>
      </c>
      <c r="E80" s="172"/>
      <c r="F80" s="180">
        <f>F68/F45*100</f>
        <v>39.664694526985762</v>
      </c>
      <c r="G80" s="180">
        <f>G68/G45*100</f>
        <v>39.664694526985755</v>
      </c>
      <c r="H80" s="180">
        <f t="shared" ref="H80:R80" si="33">H68/H45*100</f>
        <v>39.664694526985762</v>
      </c>
      <c r="I80" s="180">
        <f t="shared" si="33"/>
        <v>39.664694526985755</v>
      </c>
      <c r="J80" s="180">
        <f t="shared" si="33"/>
        <v>39.664694526985755</v>
      </c>
      <c r="K80" s="180">
        <f t="shared" si="33"/>
        <v>39.664694526985755</v>
      </c>
      <c r="L80" s="180">
        <f t="shared" si="33"/>
        <v>39.664694526985755</v>
      </c>
      <c r="M80" s="180">
        <f t="shared" si="33"/>
        <v>39.664694526985755</v>
      </c>
      <c r="N80" s="180">
        <f t="shared" si="33"/>
        <v>39.664694526985755</v>
      </c>
      <c r="O80" s="180">
        <f t="shared" si="33"/>
        <v>39.664694526985755</v>
      </c>
      <c r="P80" s="180">
        <f t="shared" si="33"/>
        <v>39.664694526985755</v>
      </c>
      <c r="Q80" s="180">
        <f t="shared" si="33"/>
        <v>39.664694526985755</v>
      </c>
      <c r="R80" s="180">
        <f t="shared" si="33"/>
        <v>39.66469452698577</v>
      </c>
    </row>
    <row r="81" spans="2:18" x14ac:dyDescent="0.25">
      <c r="B81" s="196" t="s">
        <v>224</v>
      </c>
      <c r="C81" s="185" t="s">
        <v>223</v>
      </c>
      <c r="D81" s="172">
        <f>AVERAGE(F81:R81)</f>
        <v>12.328292729118413</v>
      </c>
      <c r="E81" s="172"/>
      <c r="F81" s="180">
        <f>F69/F45*100</f>
        <v>12.328292729118413</v>
      </c>
      <c r="G81" s="180">
        <f t="shared" ref="G81:R81" si="34">G69/G45*100</f>
        <v>12.328292729118415</v>
      </c>
      <c r="H81" s="180">
        <f t="shared" si="34"/>
        <v>12.328292729118411</v>
      </c>
      <c r="I81" s="180">
        <f t="shared" si="34"/>
        <v>12.328292729118413</v>
      </c>
      <c r="J81" s="180">
        <f t="shared" si="34"/>
        <v>12.328292729118413</v>
      </c>
      <c r="K81" s="180">
        <f t="shared" si="34"/>
        <v>12.328292729118413</v>
      </c>
      <c r="L81" s="180">
        <f t="shared" si="34"/>
        <v>12.328292729118413</v>
      </c>
      <c r="M81" s="180">
        <f t="shared" si="34"/>
        <v>12.328292729118413</v>
      </c>
      <c r="N81" s="180">
        <f t="shared" si="34"/>
        <v>12.328292729118413</v>
      </c>
      <c r="O81" s="180">
        <f t="shared" si="34"/>
        <v>12.328292729118413</v>
      </c>
      <c r="P81" s="180">
        <f t="shared" si="34"/>
        <v>12.328292729118413</v>
      </c>
      <c r="Q81" s="180">
        <f t="shared" si="34"/>
        <v>12.328292729118411</v>
      </c>
      <c r="R81" s="180">
        <f t="shared" si="34"/>
        <v>12.328292729118413</v>
      </c>
    </row>
    <row r="82" spans="2:18" x14ac:dyDescent="0.25">
      <c r="B82" s="189" t="s">
        <v>245</v>
      </c>
      <c r="C82" s="199"/>
      <c r="D82" s="165"/>
      <c r="E82" s="165"/>
      <c r="F82" s="165"/>
      <c r="G82" s="167"/>
      <c r="H82" s="167"/>
      <c r="I82" s="167"/>
      <c r="J82" s="167"/>
      <c r="K82" s="167"/>
      <c r="L82" s="200"/>
      <c r="M82" s="167"/>
      <c r="N82" s="200"/>
      <c r="O82" s="167"/>
      <c r="P82" s="200"/>
      <c r="Q82" s="167"/>
      <c r="R82" s="200"/>
    </row>
    <row r="83" spans="2:18" x14ac:dyDescent="0.25">
      <c r="B83" s="192" t="s">
        <v>246</v>
      </c>
      <c r="C83" s="185" t="s">
        <v>2</v>
      </c>
      <c r="D83" s="201">
        <f>'И. Д.'!F47/100</f>
        <v>0.93500000000000005</v>
      </c>
      <c r="E83" s="202"/>
      <c r="F83" s="176">
        <f>D83</f>
        <v>0.93500000000000005</v>
      </c>
      <c r="G83" s="176">
        <f>D83</f>
        <v>0.93500000000000005</v>
      </c>
      <c r="H83" s="176">
        <f t="shared" ref="H83:R85" si="35">G83</f>
        <v>0.93500000000000005</v>
      </c>
      <c r="I83" s="176">
        <f t="shared" si="35"/>
        <v>0.93500000000000005</v>
      </c>
      <c r="J83" s="176">
        <f t="shared" si="35"/>
        <v>0.93500000000000005</v>
      </c>
      <c r="K83" s="176">
        <f t="shared" si="35"/>
        <v>0.93500000000000005</v>
      </c>
      <c r="L83" s="176">
        <f t="shared" si="35"/>
        <v>0.93500000000000005</v>
      </c>
      <c r="M83" s="176">
        <f t="shared" si="35"/>
        <v>0.93500000000000005</v>
      </c>
      <c r="N83" s="176">
        <f t="shared" si="35"/>
        <v>0.93500000000000005</v>
      </c>
      <c r="O83" s="176">
        <f t="shared" si="35"/>
        <v>0.93500000000000005</v>
      </c>
      <c r="P83" s="176">
        <f t="shared" si="35"/>
        <v>0.93500000000000005</v>
      </c>
      <c r="Q83" s="176">
        <f t="shared" si="35"/>
        <v>0.93500000000000005</v>
      </c>
      <c r="R83" s="176">
        <f t="shared" si="35"/>
        <v>0.93500000000000005</v>
      </c>
    </row>
    <row r="84" spans="2:18" x14ac:dyDescent="0.25">
      <c r="B84" s="192" t="s">
        <v>247</v>
      </c>
      <c r="C84" s="179" t="s">
        <v>2</v>
      </c>
      <c r="D84" s="201">
        <f>'И. Д.'!F48/100</f>
        <v>0.91</v>
      </c>
      <c r="E84" s="203"/>
      <c r="F84" s="204">
        <f t="shared" ref="F84:F85" si="36">D84</f>
        <v>0.91</v>
      </c>
      <c r="G84" s="204">
        <f>D84</f>
        <v>0.91</v>
      </c>
      <c r="H84" s="204">
        <f t="shared" si="35"/>
        <v>0.91</v>
      </c>
      <c r="I84" s="204">
        <f t="shared" si="35"/>
        <v>0.91</v>
      </c>
      <c r="J84" s="204">
        <f t="shared" si="35"/>
        <v>0.91</v>
      </c>
      <c r="K84" s="204">
        <f t="shared" si="35"/>
        <v>0.91</v>
      </c>
      <c r="L84" s="176">
        <f t="shared" si="35"/>
        <v>0.91</v>
      </c>
      <c r="M84" s="176">
        <f t="shared" si="35"/>
        <v>0.91</v>
      </c>
      <c r="N84" s="176">
        <f t="shared" si="35"/>
        <v>0.91</v>
      </c>
      <c r="O84" s="176">
        <f t="shared" si="35"/>
        <v>0.91</v>
      </c>
      <c r="P84" s="176">
        <f t="shared" si="35"/>
        <v>0.91</v>
      </c>
      <c r="Q84" s="176">
        <f t="shared" si="35"/>
        <v>0.91</v>
      </c>
      <c r="R84" s="176">
        <f t="shared" si="35"/>
        <v>0.91</v>
      </c>
    </row>
    <row r="85" spans="2:18" x14ac:dyDescent="0.25">
      <c r="B85" s="192" t="s">
        <v>248</v>
      </c>
      <c r="C85" s="179" t="s">
        <v>2</v>
      </c>
      <c r="D85" s="201">
        <f>'И. Д.'!F49/100</f>
        <v>0.9</v>
      </c>
      <c r="E85" s="203"/>
      <c r="F85" s="176">
        <f t="shared" si="36"/>
        <v>0.9</v>
      </c>
      <c r="G85" s="176">
        <f>D85</f>
        <v>0.9</v>
      </c>
      <c r="H85" s="176">
        <f t="shared" si="35"/>
        <v>0.9</v>
      </c>
      <c r="I85" s="176">
        <f t="shared" si="35"/>
        <v>0.9</v>
      </c>
      <c r="J85" s="176">
        <f t="shared" si="35"/>
        <v>0.9</v>
      </c>
      <c r="K85" s="176">
        <f t="shared" si="35"/>
        <v>0.9</v>
      </c>
      <c r="L85" s="176">
        <f t="shared" si="35"/>
        <v>0.9</v>
      </c>
      <c r="M85" s="176">
        <f t="shared" si="35"/>
        <v>0.9</v>
      </c>
      <c r="N85" s="176">
        <f t="shared" si="35"/>
        <v>0.9</v>
      </c>
      <c r="O85" s="176">
        <f t="shared" si="35"/>
        <v>0.9</v>
      </c>
      <c r="P85" s="176">
        <f t="shared" si="35"/>
        <v>0.9</v>
      </c>
      <c r="Q85" s="176">
        <f t="shared" si="35"/>
        <v>0.9</v>
      </c>
      <c r="R85" s="176">
        <f t="shared" si="35"/>
        <v>0.9</v>
      </c>
    </row>
    <row r="86" spans="2:18" x14ac:dyDescent="0.25">
      <c r="B86" s="194" t="s">
        <v>249</v>
      </c>
      <c r="C86" s="579"/>
      <c r="D86" s="165"/>
      <c r="E86" s="165"/>
      <c r="F86" s="165"/>
      <c r="G86" s="167"/>
      <c r="H86" s="167"/>
      <c r="I86" s="167"/>
      <c r="J86" s="167"/>
      <c r="K86" s="167"/>
      <c r="L86" s="200"/>
      <c r="M86" s="167"/>
      <c r="N86" s="200"/>
      <c r="O86" s="167"/>
      <c r="P86" s="200"/>
      <c r="Q86" s="167"/>
      <c r="R86" s="200"/>
    </row>
    <row r="87" spans="2:18" x14ac:dyDescent="0.25">
      <c r="B87" s="192" t="s">
        <v>250</v>
      </c>
      <c r="C87" s="179" t="s">
        <v>231</v>
      </c>
      <c r="D87" s="165">
        <f>SUM(F87:R87)</f>
        <v>267796.18164750002</v>
      </c>
      <c r="E87" s="183"/>
      <c r="F87" s="183">
        <f>F60*F83</f>
        <v>19263.053101894977</v>
      </c>
      <c r="G87" s="183">
        <f>G60*G83</f>
        <v>20033.575225970777</v>
      </c>
      <c r="H87" s="183">
        <f t="shared" ref="H87:R87" si="37">H60*H83</f>
        <v>21574.61947412237</v>
      </c>
      <c r="I87" s="183">
        <f t="shared" si="37"/>
        <v>23115.66372227397</v>
      </c>
      <c r="J87" s="183">
        <f t="shared" si="37"/>
        <v>23115.66372227397</v>
      </c>
      <c r="K87" s="183">
        <f t="shared" si="37"/>
        <v>23115.66372227397</v>
      </c>
      <c r="L87" s="183">
        <f t="shared" si="37"/>
        <v>23115.66372227397</v>
      </c>
      <c r="M87" s="183">
        <f t="shared" si="37"/>
        <v>23115.66372227397</v>
      </c>
      <c r="N87" s="183">
        <f t="shared" si="37"/>
        <v>23115.66372227397</v>
      </c>
      <c r="O87" s="183">
        <f t="shared" si="37"/>
        <v>23115.66372227397</v>
      </c>
      <c r="P87" s="183">
        <f t="shared" si="37"/>
        <v>23115.66372227397</v>
      </c>
      <c r="Q87" s="183">
        <f t="shared" si="37"/>
        <v>12328.353985212785</v>
      </c>
      <c r="R87" s="183">
        <f t="shared" si="37"/>
        <v>9671.2700821073195</v>
      </c>
    </row>
    <row r="88" spans="2:18" x14ac:dyDescent="0.25">
      <c r="B88" s="195" t="s">
        <v>366</v>
      </c>
      <c r="C88" s="179" t="s">
        <v>231</v>
      </c>
      <c r="D88" s="165">
        <f>SUM(F88:R88)</f>
        <v>120869.90661200002</v>
      </c>
      <c r="E88" s="183"/>
      <c r="F88" s="183">
        <f>F64*F84</f>
        <v>8694.3862125443356</v>
      </c>
      <c r="G88" s="183">
        <f t="shared" ref="G88:R88" si="38">G64*G84</f>
        <v>9042.1616610461078</v>
      </c>
      <c r="H88" s="183">
        <f t="shared" si="38"/>
        <v>9737.7125580496577</v>
      </c>
      <c r="I88" s="183">
        <f t="shared" si="38"/>
        <v>10433.263455053202</v>
      </c>
      <c r="J88" s="183">
        <f t="shared" si="38"/>
        <v>10433.263455053202</v>
      </c>
      <c r="K88" s="183">
        <f t="shared" si="38"/>
        <v>10433.263455053202</v>
      </c>
      <c r="L88" s="183">
        <f t="shared" si="38"/>
        <v>10433.263455053202</v>
      </c>
      <c r="M88" s="183">
        <f t="shared" si="38"/>
        <v>10433.263455053202</v>
      </c>
      <c r="N88" s="183">
        <f t="shared" si="38"/>
        <v>10433.263455053202</v>
      </c>
      <c r="O88" s="183">
        <f t="shared" si="38"/>
        <v>10433.263455053202</v>
      </c>
      <c r="P88" s="183">
        <f t="shared" si="38"/>
        <v>10433.263455053202</v>
      </c>
      <c r="Q88" s="183">
        <f t="shared" si="38"/>
        <v>5564.407176028375</v>
      </c>
      <c r="R88" s="183">
        <f t="shared" si="38"/>
        <v>4365.131363905889</v>
      </c>
    </row>
    <row r="89" spans="2:18" x14ac:dyDescent="0.25">
      <c r="B89" s="192" t="s">
        <v>251</v>
      </c>
      <c r="C89" s="179" t="s">
        <v>231</v>
      </c>
      <c r="D89" s="165">
        <f>SUM(F89:R89)</f>
        <v>561070.95919999992</v>
      </c>
      <c r="E89" s="183"/>
      <c r="F89" s="183">
        <f>F68</f>
        <v>40358.826681208011</v>
      </c>
      <c r="G89" s="183">
        <f>G68</f>
        <v>41973.179748456329</v>
      </c>
      <c r="H89" s="183">
        <f t="shared" ref="H89:R89" si="39">H68</f>
        <v>45201.885882952971</v>
      </c>
      <c r="I89" s="183">
        <f t="shared" si="39"/>
        <v>48430.592017449606</v>
      </c>
      <c r="J89" s="183">
        <f t="shared" si="39"/>
        <v>48430.592017449606</v>
      </c>
      <c r="K89" s="183">
        <f t="shared" si="39"/>
        <v>48430.592017449606</v>
      </c>
      <c r="L89" s="183">
        <f t="shared" si="39"/>
        <v>48430.592017449606</v>
      </c>
      <c r="M89" s="183">
        <f t="shared" si="39"/>
        <v>48430.592017449606</v>
      </c>
      <c r="N89" s="183">
        <f t="shared" si="39"/>
        <v>48430.592017449606</v>
      </c>
      <c r="O89" s="183">
        <f t="shared" si="39"/>
        <v>48430.592017449606</v>
      </c>
      <c r="P89" s="183">
        <f t="shared" si="39"/>
        <v>48430.592017449606</v>
      </c>
      <c r="Q89" s="183">
        <f t="shared" si="39"/>
        <v>25829.649075973124</v>
      </c>
      <c r="R89" s="183">
        <f t="shared" si="39"/>
        <v>20262.681671812676</v>
      </c>
    </row>
    <row r="90" spans="2:18" x14ac:dyDescent="0.25">
      <c r="B90" s="192" t="s">
        <v>252</v>
      </c>
      <c r="C90" s="179" t="s">
        <v>71</v>
      </c>
      <c r="D90" s="165">
        <f>SUM(F90:R90)</f>
        <v>6116.8562000000002</v>
      </c>
      <c r="E90" s="183"/>
      <c r="F90" s="183">
        <f t="shared" ref="F90:R91" si="40">F61*F84</f>
        <v>439.9962877452607</v>
      </c>
      <c r="G90" s="183">
        <f t="shared" si="40"/>
        <v>457.59613925507108</v>
      </c>
      <c r="H90" s="183">
        <f t="shared" si="40"/>
        <v>492.79584227469195</v>
      </c>
      <c r="I90" s="183">
        <f t="shared" si="40"/>
        <v>527.99554529431282</v>
      </c>
      <c r="J90" s="183">
        <f t="shared" si="40"/>
        <v>527.99554529431282</v>
      </c>
      <c r="K90" s="183">
        <f t="shared" si="40"/>
        <v>527.99554529431282</v>
      </c>
      <c r="L90" s="183">
        <f t="shared" si="40"/>
        <v>527.99554529431282</v>
      </c>
      <c r="M90" s="183">
        <f t="shared" si="40"/>
        <v>527.99554529431282</v>
      </c>
      <c r="N90" s="183">
        <f t="shared" si="40"/>
        <v>527.99554529431282</v>
      </c>
      <c r="O90" s="183">
        <f t="shared" si="40"/>
        <v>527.99554529431282</v>
      </c>
      <c r="P90" s="183">
        <f t="shared" si="40"/>
        <v>527.99554529431282</v>
      </c>
      <c r="Q90" s="183">
        <f t="shared" si="40"/>
        <v>281.59762415696684</v>
      </c>
      <c r="R90" s="183">
        <f t="shared" si="40"/>
        <v>220.90594421350636</v>
      </c>
    </row>
    <row r="91" spans="2:18" x14ac:dyDescent="0.25">
      <c r="B91" s="192" t="s">
        <v>253</v>
      </c>
      <c r="C91" s="179" t="s">
        <v>71</v>
      </c>
      <c r="D91" s="165">
        <f>SUM(F91:R91)</f>
        <v>820217.95973999985</v>
      </c>
      <c r="E91" s="183"/>
      <c r="F91" s="183">
        <f t="shared" si="40"/>
        <v>58999.72888484638</v>
      </c>
      <c r="G91" s="183">
        <f t="shared" si="40"/>
        <v>61359.718040240245</v>
      </c>
      <c r="H91" s="183">
        <f t="shared" si="40"/>
        <v>66079.696351027946</v>
      </c>
      <c r="I91" s="183">
        <f t="shared" si="40"/>
        <v>70799.674661815661</v>
      </c>
      <c r="J91" s="183">
        <f t="shared" si="40"/>
        <v>70799.674661815661</v>
      </c>
      <c r="K91" s="183">
        <f t="shared" si="40"/>
        <v>70799.674661815661</v>
      </c>
      <c r="L91" s="183">
        <f t="shared" si="40"/>
        <v>70799.674661815661</v>
      </c>
      <c r="M91" s="183">
        <f t="shared" si="40"/>
        <v>70799.674661815661</v>
      </c>
      <c r="N91" s="183">
        <f t="shared" si="40"/>
        <v>70799.674661815661</v>
      </c>
      <c r="O91" s="183">
        <f t="shared" si="40"/>
        <v>70799.674661815661</v>
      </c>
      <c r="P91" s="183">
        <f t="shared" si="40"/>
        <v>70799.674661815661</v>
      </c>
      <c r="Q91" s="183">
        <f t="shared" si="40"/>
        <v>37759.826486301681</v>
      </c>
      <c r="R91" s="183">
        <f t="shared" si="40"/>
        <v>29621.592683058407</v>
      </c>
    </row>
    <row r="92" spans="2:18" x14ac:dyDescent="0.25">
      <c r="B92" s="205" t="s">
        <v>254</v>
      </c>
      <c r="C92" s="121"/>
      <c r="D92" s="165"/>
      <c r="E92" s="165"/>
      <c r="F92" s="165"/>
      <c r="G92" s="167"/>
      <c r="H92" s="167"/>
      <c r="I92" s="167"/>
      <c r="J92" s="167"/>
      <c r="K92" s="167"/>
      <c r="L92" s="200"/>
      <c r="M92" s="168"/>
      <c r="N92" s="168"/>
      <c r="O92" s="168"/>
      <c r="P92" s="168"/>
      <c r="Q92" s="168"/>
      <c r="R92" s="168"/>
    </row>
    <row r="93" spans="2:18" x14ac:dyDescent="0.25">
      <c r="B93" s="580" t="s">
        <v>255</v>
      </c>
      <c r="C93" s="579"/>
      <c r="D93" s="165"/>
      <c r="E93" s="165"/>
      <c r="F93" s="165"/>
      <c r="G93" s="167"/>
      <c r="H93" s="167"/>
      <c r="I93" s="167"/>
      <c r="J93" s="167"/>
      <c r="K93" s="167"/>
      <c r="L93" s="200"/>
      <c r="M93" s="168"/>
      <c r="N93" s="168"/>
      <c r="O93" s="168"/>
      <c r="P93" s="168"/>
      <c r="Q93" s="168"/>
      <c r="R93" s="168"/>
    </row>
    <row r="94" spans="2:18" ht="15.6" x14ac:dyDescent="0.25">
      <c r="B94" s="206" t="s">
        <v>256</v>
      </c>
      <c r="C94" s="581" t="s">
        <v>544</v>
      </c>
      <c r="D94" s="165">
        <f t="shared" ref="D94:D99" si="41">SUM(F94:R94)</f>
        <v>56.863</v>
      </c>
      <c r="E94" s="165"/>
      <c r="F94" s="183">
        <f>календари!F33</f>
        <v>47.497</v>
      </c>
      <c r="G94" s="183">
        <f>календари!G33</f>
        <v>9.3659999999999997</v>
      </c>
      <c r="H94" s="183">
        <f>календари!H33</f>
        <v>0</v>
      </c>
      <c r="I94" s="183">
        <f>календари!I33</f>
        <v>0</v>
      </c>
      <c r="J94" s="183">
        <f>календари!J33</f>
        <v>0</v>
      </c>
      <c r="K94" s="183">
        <f>календари!K33</f>
        <v>0</v>
      </c>
      <c r="L94" s="183">
        <f>календари!L33</f>
        <v>0</v>
      </c>
      <c r="M94" s="183">
        <f>календари!M33</f>
        <v>0</v>
      </c>
      <c r="N94" s="183">
        <f>календари!N33</f>
        <v>0</v>
      </c>
      <c r="O94" s="183">
        <f>календари!O33</f>
        <v>0</v>
      </c>
      <c r="P94" s="183">
        <f>календари!P33</f>
        <v>0</v>
      </c>
      <c r="Q94" s="183">
        <f>календари!Q33</f>
        <v>0</v>
      </c>
      <c r="R94" s="183">
        <f>календари!R33</f>
        <v>0</v>
      </c>
    </row>
    <row r="95" spans="2:18" x14ac:dyDescent="0.25">
      <c r="B95" s="171" t="s">
        <v>257</v>
      </c>
      <c r="C95" s="179" t="s">
        <v>258</v>
      </c>
      <c r="D95" s="165">
        <f t="shared" si="41"/>
        <v>17377.579000000002</v>
      </c>
      <c r="E95" s="165"/>
      <c r="F95" s="183">
        <f>F22</f>
        <v>1250</v>
      </c>
      <c r="G95" s="183">
        <f t="shared" ref="G95:R95" si="42">G22</f>
        <v>1300</v>
      </c>
      <c r="H95" s="183">
        <f t="shared" si="42"/>
        <v>1400</v>
      </c>
      <c r="I95" s="183">
        <f t="shared" si="42"/>
        <v>1500</v>
      </c>
      <c r="J95" s="183">
        <f t="shared" si="42"/>
        <v>1500</v>
      </c>
      <c r="K95" s="183">
        <f t="shared" si="42"/>
        <v>1500</v>
      </c>
      <c r="L95" s="183">
        <f t="shared" si="42"/>
        <v>1500</v>
      </c>
      <c r="M95" s="183">
        <f t="shared" si="42"/>
        <v>1500</v>
      </c>
      <c r="N95" s="183">
        <f t="shared" si="42"/>
        <v>1500</v>
      </c>
      <c r="O95" s="183">
        <f t="shared" si="42"/>
        <v>1500</v>
      </c>
      <c r="P95" s="183">
        <f t="shared" si="42"/>
        <v>1500</v>
      </c>
      <c r="Q95" s="183">
        <f t="shared" si="42"/>
        <v>800</v>
      </c>
      <c r="R95" s="183">
        <f t="shared" si="42"/>
        <v>627.57899999999995</v>
      </c>
    </row>
    <row r="96" spans="2:18" ht="15.6" x14ac:dyDescent="0.25">
      <c r="B96" s="207" t="s">
        <v>259</v>
      </c>
      <c r="C96" s="581" t="s">
        <v>544</v>
      </c>
      <c r="D96" s="165">
        <f t="shared" si="41"/>
        <v>769.82674970000005</v>
      </c>
      <c r="E96" s="208"/>
      <c r="F96" s="183">
        <f>календари!F32</f>
        <v>55.375</v>
      </c>
      <c r="G96" s="183">
        <f>календари!G32</f>
        <v>57.589999999999989</v>
      </c>
      <c r="H96" s="183">
        <f>календари!H32</f>
        <v>62.019999999999996</v>
      </c>
      <c r="I96" s="183">
        <f>календари!I32</f>
        <v>66.45</v>
      </c>
      <c r="J96" s="183">
        <f>календари!J32</f>
        <v>66.45</v>
      </c>
      <c r="K96" s="183">
        <f>календари!K32</f>
        <v>66.45</v>
      </c>
      <c r="L96" s="183">
        <f>календари!L32</f>
        <v>66.45</v>
      </c>
      <c r="M96" s="183">
        <f>календари!M32</f>
        <v>66.45</v>
      </c>
      <c r="N96" s="183">
        <f>календари!N32</f>
        <v>66.45</v>
      </c>
      <c r="O96" s="183">
        <f>календари!O32</f>
        <v>66.45</v>
      </c>
      <c r="P96" s="183">
        <f>календари!P32</f>
        <v>66.45</v>
      </c>
      <c r="Q96" s="183">
        <f>календари!Q32</f>
        <v>35.44</v>
      </c>
      <c r="R96" s="183">
        <f>календари!R32</f>
        <v>27.801749699999995</v>
      </c>
    </row>
    <row r="97" spans="2:18" ht="15.6" x14ac:dyDescent="0.25">
      <c r="B97" s="329" t="s">
        <v>393</v>
      </c>
      <c r="C97" s="581" t="s">
        <v>544</v>
      </c>
      <c r="D97" s="165">
        <f t="shared" si="41"/>
        <v>4585.1131926121379</v>
      </c>
      <c r="E97" s="208"/>
      <c r="F97" s="183">
        <f>F95/'И. Д.'!$G$134</f>
        <v>329.81530343007915</v>
      </c>
      <c r="G97" s="183">
        <f>G95/'И. Д.'!$G$134</f>
        <v>343.00791556728234</v>
      </c>
      <c r="H97" s="183">
        <f>H95/'И. Д.'!$G$134</f>
        <v>369.39313984168865</v>
      </c>
      <c r="I97" s="183">
        <f>I95/'И. Д.'!$G$134</f>
        <v>395.77836411609496</v>
      </c>
      <c r="J97" s="183">
        <f>J95/'И. Д.'!$G$134</f>
        <v>395.77836411609496</v>
      </c>
      <c r="K97" s="183">
        <f>K95/'И. Д.'!$G$134</f>
        <v>395.77836411609496</v>
      </c>
      <c r="L97" s="183">
        <f>L95/'И. Д.'!$G$134</f>
        <v>395.77836411609496</v>
      </c>
      <c r="M97" s="183">
        <f>M95/'И. Д.'!$G$134</f>
        <v>395.77836411609496</v>
      </c>
      <c r="N97" s="183">
        <f>N95/'И. Д.'!$G$134</f>
        <v>395.77836411609496</v>
      </c>
      <c r="O97" s="183">
        <f>O95/'И. Д.'!$G$134</f>
        <v>395.77836411609496</v>
      </c>
      <c r="P97" s="183">
        <f>P95/'И. Д.'!$G$134</f>
        <v>395.77836411609496</v>
      </c>
      <c r="Q97" s="183">
        <f>Q95/'И. Д.'!$G$134</f>
        <v>211.08179419525067</v>
      </c>
      <c r="R97" s="183">
        <f>R95/'И. Д.'!$G$134</f>
        <v>165.58812664907651</v>
      </c>
    </row>
    <row r="98" spans="2:18" x14ac:dyDescent="0.25">
      <c r="B98" s="169" t="s">
        <v>37</v>
      </c>
      <c r="C98" s="209" t="s">
        <v>260</v>
      </c>
      <c r="D98" s="165">
        <f t="shared" si="41"/>
        <v>0</v>
      </c>
      <c r="E98" s="167"/>
      <c r="F98" s="183"/>
      <c r="G98" s="183"/>
      <c r="H98" s="183"/>
      <c r="I98" s="183"/>
      <c r="J98" s="183"/>
      <c r="K98" s="183"/>
      <c r="L98" s="183"/>
      <c r="M98" s="183"/>
      <c r="N98" s="183"/>
      <c r="O98" s="183"/>
      <c r="P98" s="183"/>
      <c r="Q98" s="183"/>
      <c r="R98" s="183"/>
    </row>
    <row r="99" spans="2:18" x14ac:dyDescent="0.25">
      <c r="B99" s="169" t="s">
        <v>261</v>
      </c>
      <c r="C99" s="209" t="s">
        <v>260</v>
      </c>
      <c r="D99" s="165">
        <f t="shared" si="41"/>
        <v>0</v>
      </c>
      <c r="E99" s="167"/>
      <c r="F99" s="183"/>
      <c r="G99" s="183"/>
      <c r="H99" s="183"/>
      <c r="I99" s="183"/>
      <c r="J99" s="183"/>
      <c r="K99" s="183"/>
      <c r="L99" s="183"/>
      <c r="M99" s="183"/>
      <c r="N99" s="183"/>
      <c r="O99" s="183"/>
      <c r="P99" s="183"/>
      <c r="Q99" s="183"/>
      <c r="R99" s="183"/>
    </row>
    <row r="100" spans="2:18" x14ac:dyDescent="0.25">
      <c r="B100" s="210" t="s">
        <v>262</v>
      </c>
      <c r="C100" s="209"/>
      <c r="D100" s="183"/>
      <c r="E100" s="183"/>
      <c r="F100" s="168"/>
      <c r="G100" s="211"/>
      <c r="H100" s="211"/>
      <c r="I100" s="211"/>
      <c r="J100" s="211"/>
      <c r="K100" s="211"/>
      <c r="L100" s="211"/>
      <c r="M100" s="168"/>
      <c r="N100" s="168"/>
      <c r="O100" s="168"/>
      <c r="P100" s="168"/>
      <c r="Q100" s="168"/>
      <c r="R100" s="168"/>
    </row>
    <row r="101" spans="2:18" ht="26.4" x14ac:dyDescent="0.25">
      <c r="B101" s="214" t="s">
        <v>263</v>
      </c>
      <c r="C101" s="168"/>
      <c r="D101" s="183"/>
      <c r="E101" s="183"/>
      <c r="F101" s="168"/>
      <c r="G101" s="211"/>
      <c r="H101" s="211"/>
      <c r="I101" s="211"/>
      <c r="J101" s="211"/>
      <c r="K101" s="211"/>
      <c r="L101" s="211"/>
      <c r="M101" s="168"/>
      <c r="N101" s="168"/>
      <c r="O101" s="168"/>
      <c r="P101" s="168"/>
      <c r="Q101" s="168"/>
      <c r="R101" s="168"/>
    </row>
    <row r="102" spans="2:18" x14ac:dyDescent="0.25">
      <c r="B102" s="215" t="s">
        <v>264</v>
      </c>
      <c r="C102" s="168"/>
      <c r="D102" s="183"/>
      <c r="E102" s="183"/>
      <c r="F102" s="168"/>
      <c r="G102" s="211"/>
      <c r="H102" s="211"/>
      <c r="I102" s="211"/>
      <c r="J102" s="211"/>
      <c r="K102" s="211"/>
      <c r="L102" s="211"/>
      <c r="M102" s="168"/>
      <c r="N102" s="168"/>
      <c r="O102" s="168"/>
      <c r="P102" s="168"/>
      <c r="Q102" s="168"/>
      <c r="R102" s="168"/>
    </row>
    <row r="103" spans="2:18" x14ac:dyDescent="0.25">
      <c r="B103" s="192" t="s">
        <v>250</v>
      </c>
      <c r="C103" s="185" t="s">
        <v>3</v>
      </c>
      <c r="D103" s="216">
        <f t="shared" ref="D103:D109" si="43">AVERAGE(F103:R103)</f>
        <v>8744.4156705572677</v>
      </c>
      <c r="E103" s="213"/>
      <c r="F103" s="213">
        <f>'цены и инфл'!D16</f>
        <v>8083.9999999999991</v>
      </c>
      <c r="G103" s="213">
        <f>'цены и инфл'!E16</f>
        <v>8930</v>
      </c>
      <c r="H103" s="213">
        <f>'цены и инфл'!F16</f>
        <v>8648</v>
      </c>
      <c r="I103" s="213">
        <f>'цены и инфл'!G16</f>
        <v>8038.1412201599996</v>
      </c>
      <c r="J103" s="213">
        <f>'цены и инфл'!H16</f>
        <v>8198.9040445631999</v>
      </c>
      <c r="K103" s="213">
        <f>'цены и инфл'!I16</f>
        <v>8362.8821254544655</v>
      </c>
      <c r="L103" s="213">
        <f>'цены и инфл'!J16</f>
        <v>8530.1397679635538</v>
      </c>
      <c r="M103" s="213">
        <f>'цены и инфл'!K16</f>
        <v>8700.7425633228268</v>
      </c>
      <c r="N103" s="213">
        <f>'цены и инфл'!L16</f>
        <v>8874.7574145892831</v>
      </c>
      <c r="O103" s="213">
        <f>'цены и инфл'!M16</f>
        <v>9052.2525628810708</v>
      </c>
      <c r="P103" s="213">
        <f>'цены и инфл'!N16</f>
        <v>9233.2976141386935</v>
      </c>
      <c r="Q103" s="213">
        <f>'цены и инфл'!O16</f>
        <v>9417.9635664214675</v>
      </c>
      <c r="R103" s="213">
        <f>'цены и инфл'!P16</f>
        <v>9606.3228377498963</v>
      </c>
    </row>
    <row r="104" spans="2:18" x14ac:dyDescent="0.25">
      <c r="B104" s="195" t="s">
        <v>366</v>
      </c>
      <c r="C104" s="185" t="s">
        <v>3</v>
      </c>
      <c r="D104" s="216">
        <f t="shared" si="43"/>
        <v>2115.9533162719908</v>
      </c>
      <c r="E104" s="213"/>
      <c r="F104" s="213">
        <f>'цены и инфл'!D22</f>
        <v>1998.5127030343224</v>
      </c>
      <c r="G104" s="213">
        <f>'цены и инфл'!E22</f>
        <v>1946.3570474896601</v>
      </c>
      <c r="H104" s="213">
        <f>'цены и инфл'!F22</f>
        <v>1946.3570474896592</v>
      </c>
      <c r="I104" s="213">
        <f>'цены и инфл'!G22</f>
        <v>1944.4087882346194</v>
      </c>
      <c r="J104" s="213">
        <f>'цены и инфл'!H22</f>
        <v>1985.720070480807</v>
      </c>
      <c r="K104" s="213">
        <f>'цены и инфл'!I22</f>
        <v>2034.1289031759243</v>
      </c>
      <c r="L104" s="213">
        <f>'цены и инфл'!J22</f>
        <v>2083.5059125249441</v>
      </c>
      <c r="M104" s="213">
        <f>'цены и инфл'!K22</f>
        <v>2133.8704620609442</v>
      </c>
      <c r="N104" s="213">
        <f>'цены и инфл'!L22</f>
        <v>2185.2423025876642</v>
      </c>
      <c r="O104" s="213">
        <f>'цены и инфл'!M22</f>
        <v>2237.6415799249185</v>
      </c>
      <c r="P104" s="213">
        <f>'цены и инфл'!N22</f>
        <v>2291.0888428089179</v>
      </c>
      <c r="Q104" s="213">
        <f>'цены и инфл'!O22</f>
        <v>2336.9106196650964</v>
      </c>
      <c r="R104" s="213">
        <f>'цены и инфл'!P22</f>
        <v>2383.6488320583985</v>
      </c>
    </row>
    <row r="105" spans="2:18" x14ac:dyDescent="0.25">
      <c r="B105" s="217" t="s">
        <v>251</v>
      </c>
      <c r="C105" s="185" t="s">
        <v>3</v>
      </c>
      <c r="D105" s="216">
        <f t="shared" si="43"/>
        <v>1650.0526748371308</v>
      </c>
      <c r="E105" s="213"/>
      <c r="F105" s="213">
        <f>'цены и инфл'!D21</f>
        <v>1482.07698986319</v>
      </c>
      <c r="G105" s="213">
        <f>'цены и инфл'!E21</f>
        <v>1482.07698986319</v>
      </c>
      <c r="H105" s="213">
        <f>'цены и инфл'!F21</f>
        <v>1596.0829121603585</v>
      </c>
      <c r="I105" s="213">
        <f>'цены и инфл'!G21</f>
        <v>1542.5459590614525</v>
      </c>
      <c r="J105" s="213">
        <f>'цены и инфл'!H21</f>
        <v>1573.3968782426816</v>
      </c>
      <c r="K105" s="213">
        <f>'цены и инфл'!I21</f>
        <v>1604.8648158075355</v>
      </c>
      <c r="L105" s="213">
        <f>'цены и инфл'!J21</f>
        <v>1636.9621121236862</v>
      </c>
      <c r="M105" s="213">
        <f>'цены и инфл'!K21</f>
        <v>1669.7013543661599</v>
      </c>
      <c r="N105" s="213">
        <f>'цены и инфл'!L21</f>
        <v>1703.095381453483</v>
      </c>
      <c r="O105" s="213">
        <f>'цены и инфл'!M21</f>
        <v>1737.1572890825528</v>
      </c>
      <c r="P105" s="213">
        <f>'цены и инфл'!N21</f>
        <v>1771.9004348642038</v>
      </c>
      <c r="Q105" s="213">
        <f>'цены и инфл'!O21</f>
        <v>1807.3384435614878</v>
      </c>
      <c r="R105" s="213">
        <f>'цены и инфл'!P21</f>
        <v>1843.4852124327176</v>
      </c>
    </row>
    <row r="106" spans="2:18" x14ac:dyDescent="0.25">
      <c r="B106" s="648" t="s">
        <v>252</v>
      </c>
      <c r="C106" s="218" t="s">
        <v>265</v>
      </c>
      <c r="D106" s="216">
        <f t="shared" si="43"/>
        <v>1758.6523294657395</v>
      </c>
      <c r="E106" s="213"/>
      <c r="F106" s="213">
        <f>'цены и инфл'!D17</f>
        <v>1898.67</v>
      </c>
      <c r="G106" s="213">
        <f>'цены и инфл'!E17</f>
        <v>1598.88</v>
      </c>
      <c r="H106" s="213">
        <f>'цены и инфл'!F17</f>
        <v>1598.88</v>
      </c>
      <c r="I106" s="213">
        <f>'цены и инфл'!G17</f>
        <v>1622.5116862320001</v>
      </c>
      <c r="J106" s="213">
        <f>'цены и инфл'!H17</f>
        <v>1654.96191995664</v>
      </c>
      <c r="K106" s="213">
        <f>'цены и инфл'!I17</f>
        <v>1688.0611583557729</v>
      </c>
      <c r="L106" s="213">
        <f>'цены и инфл'!J17</f>
        <v>1721.8223815228882</v>
      </c>
      <c r="M106" s="213">
        <f>'цены и инфл'!K17</f>
        <v>1756.2588291533459</v>
      </c>
      <c r="N106" s="213">
        <f>'цены и инфл'!L17</f>
        <v>1791.3840057364127</v>
      </c>
      <c r="O106" s="213">
        <f>'цены и инфл'!M17</f>
        <v>1827.2116858511411</v>
      </c>
      <c r="P106" s="213">
        <f>'цены и инфл'!N17</f>
        <v>1863.755919568164</v>
      </c>
      <c r="Q106" s="213">
        <f>'цены и инфл'!O17</f>
        <v>1901.0310379595273</v>
      </c>
      <c r="R106" s="213">
        <f>'цены и инфл'!P17</f>
        <v>1939.051658718718</v>
      </c>
    </row>
    <row r="107" spans="2:18" x14ac:dyDescent="0.25">
      <c r="B107" s="648"/>
      <c r="C107" s="185" t="s">
        <v>53</v>
      </c>
      <c r="D107" s="216">
        <f t="shared" si="43"/>
        <v>56.541985346980219</v>
      </c>
      <c r="E107" s="219"/>
      <c r="F107" s="213">
        <f>'цены и инфл'!D18</f>
        <v>61.043657987456889</v>
      </c>
      <c r="G107" s="213">
        <f>'цены и инфл'!E18</f>
        <v>51.4051856736479</v>
      </c>
      <c r="H107" s="213">
        <f>'цены и инфл'!F18</f>
        <v>51.4051856736479</v>
      </c>
      <c r="I107" s="213">
        <f>'цены и инфл'!G18</f>
        <v>52.164962028682268</v>
      </c>
      <c r="J107" s="213">
        <f>'цены и инфл'!H18</f>
        <v>53.208261269255914</v>
      </c>
      <c r="K107" s="213">
        <f>'цены и инфл'!I18</f>
        <v>54.272426494641032</v>
      </c>
      <c r="L107" s="213">
        <f>'цены и инфл'!J18</f>
        <v>55.357875024533854</v>
      </c>
      <c r="M107" s="213">
        <f>'цены и инфл'!K18</f>
        <v>56.465032525024533</v>
      </c>
      <c r="N107" s="213">
        <f>'цены и инфл'!L18</f>
        <v>57.594333175525023</v>
      </c>
      <c r="O107" s="213">
        <f>'цены и инфл'!M18</f>
        <v>58.746219839035525</v>
      </c>
      <c r="P107" s="213">
        <f>'цены и инфл'!N18</f>
        <v>59.921144235816236</v>
      </c>
      <c r="Q107" s="213">
        <f>'цены и инфл'!O18</f>
        <v>61.119567120532565</v>
      </c>
      <c r="R107" s="213">
        <f>'цены и инфл'!P18</f>
        <v>62.341958462943225</v>
      </c>
    </row>
    <row r="108" spans="2:18" x14ac:dyDescent="0.25">
      <c r="B108" s="648" t="s">
        <v>253</v>
      </c>
      <c r="C108" s="218" t="s">
        <v>265</v>
      </c>
      <c r="D108" s="216">
        <f t="shared" si="43"/>
        <v>23.687296421916265</v>
      </c>
      <c r="E108" s="213"/>
      <c r="F108" s="213">
        <f>'цены и инфл'!D19</f>
        <v>22.562999999999999</v>
      </c>
      <c r="G108" s="213">
        <f>'цены и инфл'!E19</f>
        <v>20.600999999999999</v>
      </c>
      <c r="H108" s="213">
        <f>'цены и инфл'!F19</f>
        <v>20.600999999999999</v>
      </c>
      <c r="I108" s="213">
        <f>'цены и инфл'!G19</f>
        <v>22.299184928159999</v>
      </c>
      <c r="J108" s="213">
        <f>'цены и инфл'!H19</f>
        <v>22.745168626723196</v>
      </c>
      <c r="K108" s="213">
        <f>'цены и инфл'!I19</f>
        <v>23.200071999257659</v>
      </c>
      <c r="L108" s="213">
        <f>'цены и инфл'!J19</f>
        <v>23.664073439242809</v>
      </c>
      <c r="M108" s="213">
        <f>'цены и инфл'!K19</f>
        <v>24.137354908027664</v>
      </c>
      <c r="N108" s="213">
        <f>'цены и инфл'!L19</f>
        <v>24.620102006188219</v>
      </c>
      <c r="O108" s="213">
        <f>'цены и инфл'!M19</f>
        <v>25.112504046311983</v>
      </c>
      <c r="P108" s="213">
        <f>'цены и инфл'!N19</f>
        <v>25.614754127238225</v>
      </c>
      <c r="Q108" s="213">
        <f>'цены и инфл'!O19</f>
        <v>26.127049209782989</v>
      </c>
      <c r="R108" s="213">
        <f>'цены и инфл'!P19</f>
        <v>26.64959019397865</v>
      </c>
    </row>
    <row r="109" spans="2:18" x14ac:dyDescent="0.25">
      <c r="B109" s="648"/>
      <c r="C109" s="185" t="s">
        <v>53</v>
      </c>
      <c r="D109" s="216">
        <f t="shared" si="43"/>
        <v>0.76156426415699818</v>
      </c>
      <c r="E109" s="219"/>
      <c r="F109" s="219">
        <f>'цены и инфл'!D20/1000</f>
        <v>0.72541729482795314</v>
      </c>
      <c r="G109" s="219">
        <f>'цены и инфл'!E20/1000</f>
        <v>0.66233753006030505</v>
      </c>
      <c r="H109" s="219">
        <f>'цены и инфл'!F20/1000</f>
        <v>0.66233753006030505</v>
      </c>
      <c r="I109" s="219">
        <f>'цены и инфл'!G20/1000</f>
        <v>0.71693544331224091</v>
      </c>
      <c r="J109" s="219">
        <f>'цены и инфл'!H20/1000</f>
        <v>0.73127415217848568</v>
      </c>
      <c r="K109" s="219">
        <f>'цены и инфл'!I20/1000</f>
        <v>0.74589963522205538</v>
      </c>
      <c r="L109" s="219">
        <f>'цены и инфл'!J20/1000</f>
        <v>0.76081762792649643</v>
      </c>
      <c r="M109" s="219">
        <f>'цены и инфл'!K20/1000</f>
        <v>0.77603398048502636</v>
      </c>
      <c r="N109" s="219">
        <f>'цены и инфл'!L20/1000</f>
        <v>0.79155466009472697</v>
      </c>
      <c r="O109" s="219">
        <f>'цены и инфл'!M20/1000</f>
        <v>0.80738575329662143</v>
      </c>
      <c r="P109" s="219">
        <f>'цены и инфл'!N20/1000</f>
        <v>0.82353346836255403</v>
      </c>
      <c r="Q109" s="219">
        <f>'цены и инфл'!O20/1000</f>
        <v>0.84000413772980509</v>
      </c>
      <c r="R109" s="219">
        <f>'цены и инфл'!P20/1000</f>
        <v>0.85680422048440119</v>
      </c>
    </row>
    <row r="110" spans="2:18" x14ac:dyDescent="0.25">
      <c r="B110" s="649" t="s">
        <v>266</v>
      </c>
      <c r="C110" s="562" t="s">
        <v>6</v>
      </c>
      <c r="D110" s="165">
        <f>SUM(F110:R110)</f>
        <v>4461072.7554456014</v>
      </c>
      <c r="E110" s="177"/>
      <c r="F110" s="220">
        <f>F112+F113+F114+F115+F116</f>
        <v>302571.65755677054</v>
      </c>
      <c r="G110" s="220">
        <f t="shared" ref="G110:R110" si="44">G112+G113+G114+G115+G116</f>
        <v>322870.24433193653</v>
      </c>
      <c r="H110" s="220">
        <f t="shared" si="44"/>
        <v>346775.65697080962</v>
      </c>
      <c r="I110" s="220">
        <f t="shared" si="44"/>
        <v>359101.57627243327</v>
      </c>
      <c r="J110" s="220">
        <f t="shared" si="44"/>
        <v>366308.888706183</v>
      </c>
      <c r="K110" s="220">
        <f t="shared" si="44"/>
        <v>373725.77777250018</v>
      </c>
      <c r="L110" s="220">
        <f t="shared" si="44"/>
        <v>381291.00462014362</v>
      </c>
      <c r="M110" s="220">
        <f t="shared" si="44"/>
        <v>389007.53600474005</v>
      </c>
      <c r="N110" s="220">
        <f t="shared" si="44"/>
        <v>396878.39801702835</v>
      </c>
      <c r="O110" s="220">
        <f t="shared" si="44"/>
        <v>404906.67726956244</v>
      </c>
      <c r="P110" s="220">
        <f t="shared" si="44"/>
        <v>413095.52210714726</v>
      </c>
      <c r="Q110" s="220">
        <f t="shared" si="44"/>
        <v>224723.96402628813</v>
      </c>
      <c r="R110" s="220">
        <f t="shared" si="44"/>
        <v>179815.85179005869</v>
      </c>
    </row>
    <row r="111" spans="2:18" x14ac:dyDescent="0.25">
      <c r="B111" s="650"/>
      <c r="C111" s="564" t="s">
        <v>3</v>
      </c>
      <c r="D111" s="177">
        <f>D110/D36</f>
        <v>256.71428427663028</v>
      </c>
      <c r="E111" s="177"/>
      <c r="F111" s="165">
        <f t="shared" ref="F111:R111" si="45">F110/F36</f>
        <v>242.05732604541643</v>
      </c>
      <c r="G111" s="165">
        <f t="shared" si="45"/>
        <v>248.36172640918195</v>
      </c>
      <c r="H111" s="165">
        <f t="shared" si="45"/>
        <v>247.69689783629258</v>
      </c>
      <c r="I111" s="165">
        <f t="shared" si="45"/>
        <v>239.40105084828886</v>
      </c>
      <c r="J111" s="165">
        <f t="shared" si="45"/>
        <v>244.20592580412199</v>
      </c>
      <c r="K111" s="165">
        <f t="shared" si="45"/>
        <v>249.15051851500013</v>
      </c>
      <c r="L111" s="165">
        <f t="shared" si="45"/>
        <v>254.19400308009574</v>
      </c>
      <c r="M111" s="165">
        <f t="shared" si="45"/>
        <v>259.33835733649335</v>
      </c>
      <c r="N111" s="165">
        <f t="shared" si="45"/>
        <v>264.58559867801893</v>
      </c>
      <c r="O111" s="165">
        <f t="shared" si="45"/>
        <v>269.93778484637494</v>
      </c>
      <c r="P111" s="165">
        <f t="shared" si="45"/>
        <v>275.39701473809816</v>
      </c>
      <c r="Q111" s="165">
        <f t="shared" si="45"/>
        <v>280.90495503286019</v>
      </c>
      <c r="R111" s="165">
        <f t="shared" si="45"/>
        <v>286.52305413351741</v>
      </c>
    </row>
    <row r="112" spans="2:18" x14ac:dyDescent="0.25">
      <c r="B112" s="221" t="s">
        <v>250</v>
      </c>
      <c r="C112" s="179" t="s">
        <v>6</v>
      </c>
      <c r="D112" s="165">
        <f>SUM(F112:R112)</f>
        <v>2324988.4562152755</v>
      </c>
      <c r="E112" s="167"/>
      <c r="F112" s="213">
        <f t="shared" ref="F112:R114" si="46">F87*F103/1000</f>
        <v>155722.52127571899</v>
      </c>
      <c r="G112" s="213">
        <f t="shared" si="46"/>
        <v>178899.82676791903</v>
      </c>
      <c r="H112" s="213">
        <f t="shared" si="46"/>
        <v>186577.30921221027</v>
      </c>
      <c r="I112" s="213">
        <f t="shared" si="46"/>
        <v>185806.96939736753</v>
      </c>
      <c r="J112" s="213">
        <f t="shared" si="46"/>
        <v>189523.10878531489</v>
      </c>
      <c r="K112" s="213">
        <f t="shared" si="46"/>
        <v>193313.57096102121</v>
      </c>
      <c r="L112" s="213">
        <f t="shared" si="46"/>
        <v>197179.84238024164</v>
      </c>
      <c r="M112" s="213">
        <f t="shared" si="46"/>
        <v>201123.43922784651</v>
      </c>
      <c r="N112" s="213">
        <f t="shared" si="46"/>
        <v>205145.90801240344</v>
      </c>
      <c r="O112" s="213">
        <f t="shared" si="46"/>
        <v>209248.82617265152</v>
      </c>
      <c r="P112" s="213">
        <f t="shared" si="46"/>
        <v>213433.8026961046</v>
      </c>
      <c r="Q112" s="213">
        <f t="shared" si="46"/>
        <v>116107.98866668092</v>
      </c>
      <c r="R112" s="213">
        <f t="shared" si="46"/>
        <v>92905.342659794856</v>
      </c>
    </row>
    <row r="113" spans="2:18" x14ac:dyDescent="0.25">
      <c r="B113" s="195" t="s">
        <v>366</v>
      </c>
      <c r="C113" s="179" t="s">
        <v>6</v>
      </c>
      <c r="D113" s="165">
        <f>SUM(F113:R113)</f>
        <v>253612.96194947077</v>
      </c>
      <c r="E113" s="167"/>
      <c r="F113" s="213">
        <f>F88*F104/1000</f>
        <v>17375.841290856326</v>
      </c>
      <c r="G113" s="213">
        <f t="shared" si="46"/>
        <v>17599.275073517903</v>
      </c>
      <c r="H113" s="213">
        <f t="shared" si="46"/>
        <v>18953.065463788509</v>
      </c>
      <c r="I113" s="213">
        <f t="shared" si="46"/>
        <v>20286.529151972536</v>
      </c>
      <c r="J113" s="213">
        <f t="shared" si="46"/>
        <v>20717.540643313074</v>
      </c>
      <c r="K113" s="213">
        <f t="shared" si="46"/>
        <v>21222.602748372821</v>
      </c>
      <c r="L113" s="213">
        <f t="shared" si="46"/>
        <v>21737.766095533774</v>
      </c>
      <c r="M113" s="213">
        <f t="shared" si="46"/>
        <v>22263.232709637941</v>
      </c>
      <c r="N113" s="213">
        <f t="shared" si="46"/>
        <v>22799.208656024188</v>
      </c>
      <c r="O113" s="213">
        <f t="shared" si="46"/>
        <v>23345.904121338161</v>
      </c>
      <c r="P113" s="213">
        <f t="shared" si="46"/>
        <v>23903.533495958414</v>
      </c>
      <c r="Q113" s="213">
        <f t="shared" si="46"/>
        <v>13003.522221801381</v>
      </c>
      <c r="R113" s="213">
        <f t="shared" si="46"/>
        <v>10404.940277355756</v>
      </c>
    </row>
    <row r="114" spans="2:18" x14ac:dyDescent="0.25">
      <c r="B114" s="192" t="s">
        <v>251</v>
      </c>
      <c r="C114" s="179" t="s">
        <v>6</v>
      </c>
      <c r="D114" s="165">
        <f>SUM(F114:R114)</f>
        <v>919408.04100420687</v>
      </c>
      <c r="E114" s="167"/>
      <c r="F114" s="213">
        <f>F89*F105/1000</f>
        <v>59814.888362094971</v>
      </c>
      <c r="G114" s="213">
        <f t="shared" si="46"/>
        <v>62207.483896578757</v>
      </c>
      <c r="H114" s="213">
        <f t="shared" si="46"/>
        <v>72145.957655203776</v>
      </c>
      <c r="I114" s="213">
        <f t="shared" si="46"/>
        <v>74706.414011470741</v>
      </c>
      <c r="J114" s="213">
        <f t="shared" si="46"/>
        <v>76200.542291700142</v>
      </c>
      <c r="K114" s="213">
        <f t="shared" si="46"/>
        <v>77724.553137534152</v>
      </c>
      <c r="L114" s="213">
        <f t="shared" si="46"/>
        <v>79279.044200284843</v>
      </c>
      <c r="M114" s="213">
        <f t="shared" si="46"/>
        <v>80864.625084290528</v>
      </c>
      <c r="N114" s="213">
        <f t="shared" si="46"/>
        <v>82481.917585976349</v>
      </c>
      <c r="O114" s="213">
        <f t="shared" si="46"/>
        <v>84131.55593769587</v>
      </c>
      <c r="P114" s="213">
        <f t="shared" si="46"/>
        <v>85814.187056449795</v>
      </c>
      <c r="Q114" s="213">
        <f t="shared" si="46"/>
        <v>46682.917758708689</v>
      </c>
      <c r="R114" s="213">
        <f t="shared" si="46"/>
        <v>37353.954026218125</v>
      </c>
    </row>
    <row r="115" spans="2:18" x14ac:dyDescent="0.25">
      <c r="B115" s="192" t="s">
        <v>252</v>
      </c>
      <c r="C115" s="179" t="s">
        <v>6</v>
      </c>
      <c r="D115" s="165">
        <f>SUM(F115:R115)</f>
        <v>343096.473185512</v>
      </c>
      <c r="E115" s="167"/>
      <c r="F115" s="213">
        <f t="shared" ref="F115:R115" si="47">F90*F107</f>
        <v>26858.982904872362</v>
      </c>
      <c r="G115" s="213">
        <f t="shared" si="47"/>
        <v>23522.814501951369</v>
      </c>
      <c r="H115" s="213">
        <f t="shared" si="47"/>
        <v>25332.261771332243</v>
      </c>
      <c r="I115" s="213">
        <f t="shared" si="47"/>
        <v>27542.867571591218</v>
      </c>
      <c r="J115" s="213">
        <f t="shared" si="47"/>
        <v>28093.724923023041</v>
      </c>
      <c r="K115" s="213">
        <f t="shared" si="47"/>
        <v>28655.599421483501</v>
      </c>
      <c r="L115" s="213">
        <f t="shared" si="47"/>
        <v>29228.711409913172</v>
      </c>
      <c r="M115" s="213">
        <f t="shared" si="47"/>
        <v>29813.285638111436</v>
      </c>
      <c r="N115" s="213">
        <f t="shared" si="47"/>
        <v>30409.551350873666</v>
      </c>
      <c r="O115" s="213">
        <f t="shared" si="47"/>
        <v>31017.74237789114</v>
      </c>
      <c r="P115" s="213">
        <f t="shared" si="47"/>
        <v>31638.097225448964</v>
      </c>
      <c r="Q115" s="213">
        <f t="shared" si="47"/>
        <v>17211.124890644238</v>
      </c>
      <c r="R115" s="213">
        <f t="shared" si="47"/>
        <v>13771.709198375667</v>
      </c>
    </row>
    <row r="116" spans="2:18" x14ac:dyDescent="0.25">
      <c r="B116" s="192" t="s">
        <v>253</v>
      </c>
      <c r="C116" s="179" t="s">
        <v>6</v>
      </c>
      <c r="D116" s="165">
        <f>SUM(F116:R116)</f>
        <v>619966.82309113676</v>
      </c>
      <c r="E116" s="167"/>
      <c r="F116" s="213">
        <f t="shared" ref="F116:R116" si="48">F91*F109</f>
        <v>42799.423723227912</v>
      </c>
      <c r="G116" s="213">
        <f t="shared" si="48"/>
        <v>40640.844091969462</v>
      </c>
      <c r="H116" s="213">
        <f t="shared" si="48"/>
        <v>43767.062868274799</v>
      </c>
      <c r="I116" s="213">
        <f t="shared" si="48"/>
        <v>50758.796140031242</v>
      </c>
      <c r="J116" s="213">
        <f t="shared" si="48"/>
        <v>51773.972062831861</v>
      </c>
      <c r="K116" s="213">
        <f t="shared" si="48"/>
        <v>52809.451504088502</v>
      </c>
      <c r="L116" s="213">
        <f t="shared" si="48"/>
        <v>53865.640534170263</v>
      </c>
      <c r="M116" s="213">
        <f t="shared" si="48"/>
        <v>54942.953344853668</v>
      </c>
      <c r="N116" s="213">
        <f t="shared" si="48"/>
        <v>56041.812411750747</v>
      </c>
      <c r="O116" s="213">
        <f t="shared" si="48"/>
        <v>57162.64865998576</v>
      </c>
      <c r="P116" s="213">
        <f t="shared" si="48"/>
        <v>58305.901633185487</v>
      </c>
      <c r="Q116" s="213">
        <f t="shared" si="48"/>
        <v>31718.410488452901</v>
      </c>
      <c r="R116" s="213">
        <f t="shared" si="48"/>
        <v>25379.9056283143</v>
      </c>
    </row>
    <row r="117" spans="2:18" x14ac:dyDescent="0.25">
      <c r="B117" s="215" t="s">
        <v>267</v>
      </c>
      <c r="C117" s="222" t="s">
        <v>2</v>
      </c>
      <c r="D117" s="183">
        <v>100</v>
      </c>
      <c r="E117" s="183"/>
      <c r="F117" s="213"/>
      <c r="G117" s="213"/>
      <c r="H117" s="213"/>
      <c r="I117" s="213"/>
      <c r="J117" s="213"/>
      <c r="K117" s="213"/>
      <c r="L117" s="213"/>
      <c r="M117" s="213"/>
      <c r="N117" s="213"/>
      <c r="O117" s="213"/>
      <c r="P117" s="213"/>
      <c r="Q117" s="213"/>
      <c r="R117" s="213"/>
    </row>
    <row r="118" spans="2:18" x14ac:dyDescent="0.25">
      <c r="B118" s="192" t="s">
        <v>250</v>
      </c>
      <c r="C118" s="222" t="s">
        <v>2</v>
      </c>
      <c r="D118" s="183">
        <f>D112*100/$D$110</f>
        <v>52.117250349194101</v>
      </c>
      <c r="E118" s="183"/>
      <c r="F118" s="183">
        <f>F112*100/F110</f>
        <v>51.466327855411002</v>
      </c>
      <c r="G118" s="183">
        <f t="shared" ref="G118:R118" si="49">G112*100/G110</f>
        <v>55.409202275077305</v>
      </c>
      <c r="H118" s="183">
        <f t="shared" si="49"/>
        <v>53.803462112081206</v>
      </c>
      <c r="I118" s="183">
        <f t="shared" si="49"/>
        <v>51.742175939769375</v>
      </c>
      <c r="J118" s="183">
        <f t="shared" si="49"/>
        <v>51.738604939322592</v>
      </c>
      <c r="K118" s="183">
        <f t="shared" si="49"/>
        <v>51.726046866025357</v>
      </c>
      <c r="L118" s="183">
        <f t="shared" si="49"/>
        <v>51.713740946152029</v>
      </c>
      <c r="M118" s="183">
        <f t="shared" si="49"/>
        <v>51.701682001706992</v>
      </c>
      <c r="N118" s="183">
        <f t="shared" si="49"/>
        <v>51.689864965540785</v>
      </c>
      <c r="O118" s="183">
        <f t="shared" si="49"/>
        <v>51.678284878800923</v>
      </c>
      <c r="P118" s="183">
        <f t="shared" si="49"/>
        <v>51.666936888448021</v>
      </c>
      <c r="Q118" s="183">
        <f t="shared" si="49"/>
        <v>51.666936888448021</v>
      </c>
      <c r="R118" s="183">
        <f t="shared" si="49"/>
        <v>51.666936888448021</v>
      </c>
    </row>
    <row r="119" spans="2:18" x14ac:dyDescent="0.25">
      <c r="B119" s="195" t="s">
        <v>366</v>
      </c>
      <c r="C119" s="222" t="s">
        <v>2</v>
      </c>
      <c r="D119" s="183">
        <f>D113*100/$D$110</f>
        <v>5.6850218737160736</v>
      </c>
      <c r="E119" s="183"/>
      <c r="F119" s="183">
        <f>F113*100/F110</f>
        <v>5.7427194044426164</v>
      </c>
      <c r="G119" s="183">
        <f t="shared" ref="G119:R119" si="50">G113*100/G110</f>
        <v>5.450881703246842</v>
      </c>
      <c r="H119" s="183">
        <f t="shared" si="50"/>
        <v>5.4655120919816795</v>
      </c>
      <c r="I119" s="183">
        <f t="shared" si="50"/>
        <v>5.649245364654738</v>
      </c>
      <c r="J119" s="183">
        <f t="shared" si="50"/>
        <v>5.6557570078324382</v>
      </c>
      <c r="K119" s="183">
        <f t="shared" si="50"/>
        <v>5.6786563867402675</v>
      </c>
      <c r="L119" s="183">
        <f t="shared" si="50"/>
        <v>5.7010959692557535</v>
      </c>
      <c r="M119" s="183">
        <f t="shared" si="50"/>
        <v>5.7230851973434937</v>
      </c>
      <c r="N119" s="183">
        <f t="shared" si="50"/>
        <v>5.7446333108424739</v>
      </c>
      <c r="O119" s="183">
        <f t="shared" si="50"/>
        <v>5.7657493521145042</v>
      </c>
      <c r="P119" s="183">
        <f t="shared" si="50"/>
        <v>5.7864421705734204</v>
      </c>
      <c r="Q119" s="183">
        <f t="shared" si="50"/>
        <v>5.7864421705734213</v>
      </c>
      <c r="R119" s="183">
        <f t="shared" si="50"/>
        <v>5.7864421705734195</v>
      </c>
    </row>
    <row r="120" spans="2:18" x14ac:dyDescent="0.25">
      <c r="B120" s="192" t="s">
        <v>251</v>
      </c>
      <c r="C120" s="222" t="s">
        <v>2</v>
      </c>
      <c r="D120" s="183">
        <f>D114*100/$D$110</f>
        <v>20.609572885398286</v>
      </c>
      <c r="E120" s="183"/>
      <c r="F120" s="183">
        <f>F114*100/F110</f>
        <v>19.768833883878269</v>
      </c>
      <c r="G120" s="183">
        <f t="shared" ref="G120:R120" si="51">G114*100/G110</f>
        <v>19.26702289500065</v>
      </c>
      <c r="H120" s="183">
        <f t="shared" si="51"/>
        <v>20.804793013852404</v>
      </c>
      <c r="I120" s="183">
        <f t="shared" si="51"/>
        <v>20.803699829709057</v>
      </c>
      <c r="J120" s="183">
        <f t="shared" si="51"/>
        <v>20.802264056666321</v>
      </c>
      <c r="K120" s="183">
        <f t="shared" si="51"/>
        <v>20.797214899328612</v>
      </c>
      <c r="L120" s="183">
        <f t="shared" si="51"/>
        <v>20.792267123968895</v>
      </c>
      <c r="M120" s="183">
        <f t="shared" si="51"/>
        <v>20.787418648698157</v>
      </c>
      <c r="N120" s="183">
        <f t="shared" si="51"/>
        <v>20.782667436194753</v>
      </c>
      <c r="O120" s="183">
        <f t="shared" si="51"/>
        <v>20.778011492679376</v>
      </c>
      <c r="P120" s="183">
        <f t="shared" si="51"/>
        <v>20.773448866916457</v>
      </c>
      <c r="Q120" s="183">
        <f t="shared" si="51"/>
        <v>20.773448866916453</v>
      </c>
      <c r="R120" s="183">
        <f t="shared" si="51"/>
        <v>20.773448866916461</v>
      </c>
    </row>
    <row r="121" spans="2:18" x14ac:dyDescent="0.25">
      <c r="B121" s="192" t="s">
        <v>252</v>
      </c>
      <c r="C121" s="222" t="s">
        <v>2</v>
      </c>
      <c r="D121" s="183">
        <f>D115*100/$D$110</f>
        <v>7.6908961587030031</v>
      </c>
      <c r="E121" s="183"/>
      <c r="F121" s="183">
        <f>F115*100/F110</f>
        <v>8.8768998133385644</v>
      </c>
      <c r="G121" s="183">
        <f t="shared" ref="G121:R121" si="52">G115*100/G110</f>
        <v>7.2855318552576271</v>
      </c>
      <c r="H121" s="183">
        <f t="shared" si="52"/>
        <v>7.305086519802809</v>
      </c>
      <c r="I121" s="183">
        <f t="shared" si="52"/>
        <v>7.6699378090993831</v>
      </c>
      <c r="J121" s="183">
        <f t="shared" si="52"/>
        <v>7.6694084662403776</v>
      </c>
      <c r="K121" s="183">
        <f t="shared" si="52"/>
        <v>7.6675469356912158</v>
      </c>
      <c r="L121" s="183">
        <f t="shared" si="52"/>
        <v>7.6657227827947079</v>
      </c>
      <c r="M121" s="183">
        <f t="shared" si="52"/>
        <v>7.6639352399970369</v>
      </c>
      <c r="N121" s="183">
        <f t="shared" si="52"/>
        <v>7.6621835561755427</v>
      </c>
      <c r="O121" s="183">
        <f t="shared" si="52"/>
        <v>7.6604669962608192</v>
      </c>
      <c r="P121" s="183">
        <f t="shared" si="52"/>
        <v>7.6587848408685453</v>
      </c>
      <c r="Q121" s="183">
        <f t="shared" si="52"/>
        <v>7.6587848408685453</v>
      </c>
      <c r="R121" s="183">
        <f t="shared" si="52"/>
        <v>7.6587848408685462</v>
      </c>
    </row>
    <row r="122" spans="2:18" x14ac:dyDescent="0.25">
      <c r="B122" s="192" t="s">
        <v>253</v>
      </c>
      <c r="C122" s="222" t="s">
        <v>2</v>
      </c>
      <c r="D122" s="183">
        <f>D116*100/$D$110</f>
        <v>13.897258732988549</v>
      </c>
      <c r="E122" s="183"/>
      <c r="F122" s="183">
        <f>F116*100/F110</f>
        <v>14.145219042929556</v>
      </c>
      <c r="G122" s="183">
        <f t="shared" ref="G122:R122" si="53">G116*100/G110</f>
        <v>12.587361271417571</v>
      </c>
      <c r="H122" s="183">
        <f t="shared" si="53"/>
        <v>12.621146262281886</v>
      </c>
      <c r="I122" s="183">
        <f t="shared" si="53"/>
        <v>14.134941056767447</v>
      </c>
      <c r="J122" s="183">
        <f t="shared" si="53"/>
        <v>14.133965529938273</v>
      </c>
      <c r="K122" s="183">
        <f t="shared" si="53"/>
        <v>14.13053491221455</v>
      </c>
      <c r="L122" s="183">
        <f t="shared" si="53"/>
        <v>14.127173177828633</v>
      </c>
      <c r="M122" s="183">
        <f t="shared" si="53"/>
        <v>14.123878912254336</v>
      </c>
      <c r="N122" s="183">
        <f t="shared" si="53"/>
        <v>14.12065073124646</v>
      </c>
      <c r="O122" s="183">
        <f t="shared" si="53"/>
        <v>14.117487280144388</v>
      </c>
      <c r="P122" s="183">
        <f t="shared" si="53"/>
        <v>14.114387233193563</v>
      </c>
      <c r="Q122" s="183">
        <f t="shared" si="53"/>
        <v>14.114387233193561</v>
      </c>
      <c r="R122" s="183">
        <f t="shared" si="53"/>
        <v>14.114387233193561</v>
      </c>
    </row>
    <row r="123" spans="2:18" ht="26.4" x14ac:dyDescent="0.25">
      <c r="B123" s="223" t="s">
        <v>268</v>
      </c>
      <c r="C123" s="224" t="s">
        <v>269</v>
      </c>
      <c r="D123" s="165">
        <f>SUM(F123:R123)</f>
        <v>218147.80577105487</v>
      </c>
      <c r="E123" s="225"/>
      <c r="F123" s="226">
        <f t="shared" ref="F123:R123" si="54">F110/F87*1000</f>
        <v>15707.35728943225</v>
      </c>
      <c r="G123" s="226">
        <f t="shared" si="54"/>
        <v>16116.456533099477</v>
      </c>
      <c r="H123" s="226">
        <f t="shared" si="54"/>
        <v>16073.315100029873</v>
      </c>
      <c r="I123" s="226">
        <f t="shared" si="54"/>
        <v>15534.988767223127</v>
      </c>
      <c r="J123" s="226">
        <f t="shared" si="54"/>
        <v>15846.782212583073</v>
      </c>
      <c r="K123" s="226">
        <f t="shared" si="54"/>
        <v>16167.642091642932</v>
      </c>
      <c r="L123" s="226">
        <f t="shared" si="54"/>
        <v>16494.919168283985</v>
      </c>
      <c r="M123" s="226">
        <f t="shared" si="54"/>
        <v>16828.74178645786</v>
      </c>
      <c r="N123" s="226">
        <f t="shared" si="54"/>
        <v>17169.240856995217</v>
      </c>
      <c r="O123" s="226">
        <f t="shared" si="54"/>
        <v>17516.549908943318</v>
      </c>
      <c r="P123" s="226">
        <f t="shared" si="54"/>
        <v>17870.805141930381</v>
      </c>
      <c r="Q123" s="226">
        <f t="shared" si="54"/>
        <v>18228.221244768989</v>
      </c>
      <c r="R123" s="226">
        <f t="shared" si="54"/>
        <v>18592.785669664365</v>
      </c>
    </row>
    <row r="124" spans="2:18" x14ac:dyDescent="0.25">
      <c r="B124" s="214" t="s">
        <v>270</v>
      </c>
      <c r="C124" s="168"/>
      <c r="D124" s="183"/>
      <c r="E124" s="183"/>
      <c r="F124" s="168"/>
      <c r="G124" s="211"/>
      <c r="H124" s="211"/>
      <c r="I124" s="211"/>
      <c r="J124" s="211"/>
      <c r="K124" s="211"/>
      <c r="L124" s="211"/>
      <c r="M124" s="211"/>
      <c r="N124" s="211"/>
      <c r="O124" s="211"/>
      <c r="P124" s="211"/>
      <c r="Q124" s="211"/>
      <c r="R124" s="211"/>
    </row>
    <row r="125" spans="2:18" x14ac:dyDescent="0.25">
      <c r="B125" s="651" t="s">
        <v>32</v>
      </c>
      <c r="C125" s="553" t="s">
        <v>271</v>
      </c>
      <c r="D125" s="165">
        <f>SUM(F125:R125)</f>
        <v>1212594.5669704885</v>
      </c>
      <c r="E125" s="177"/>
      <c r="F125" s="227">
        <f>F129+F131+F133+F135+F137+F139</f>
        <v>76907.715864116093</v>
      </c>
      <c r="G125" s="227">
        <f t="shared" ref="G125:R125" si="55">G129+G131+G133+G135+G137+G139</f>
        <v>80623.896694670198</v>
      </c>
      <c r="H125" s="227">
        <f t="shared" si="55"/>
        <v>89517.332683913046</v>
      </c>
      <c r="I125" s="227">
        <f t="shared" si="55"/>
        <v>99460.150707019071</v>
      </c>
      <c r="J125" s="227">
        <f t="shared" si="55"/>
        <v>101449.35372115945</v>
      </c>
      <c r="K125" s="227">
        <f t="shared" si="55"/>
        <v>103478.34079558266</v>
      </c>
      <c r="L125" s="227">
        <f t="shared" si="55"/>
        <v>105547.9076114943</v>
      </c>
      <c r="M125" s="227">
        <f t="shared" si="55"/>
        <v>107658.8657637242</v>
      </c>
      <c r="N125" s="227">
        <f t="shared" si="55"/>
        <v>109812.04307899867</v>
      </c>
      <c r="O125" s="227">
        <f t="shared" si="55"/>
        <v>112008.28394057865</v>
      </c>
      <c r="P125" s="227">
        <f t="shared" si="55"/>
        <v>114248.44961939023</v>
      </c>
      <c r="Q125" s="227">
        <f t="shared" si="55"/>
        <v>62151.156592948289</v>
      </c>
      <c r="R125" s="227">
        <f t="shared" si="55"/>
        <v>49731.06989689351</v>
      </c>
    </row>
    <row r="126" spans="2:18" x14ac:dyDescent="0.25">
      <c r="B126" s="652"/>
      <c r="C126" s="564" t="s">
        <v>3</v>
      </c>
      <c r="D126" s="228">
        <f>D125/D22</f>
        <v>69.779257914493641</v>
      </c>
      <c r="E126" s="228"/>
      <c r="F126" s="228">
        <f t="shared" ref="F126:R126" si="56">F125/F22</f>
        <v>61.526172691292878</v>
      </c>
      <c r="G126" s="228">
        <f t="shared" si="56"/>
        <v>62.018382072823229</v>
      </c>
      <c r="H126" s="228">
        <f t="shared" si="56"/>
        <v>63.940951917080746</v>
      </c>
      <c r="I126" s="228">
        <f t="shared" si="56"/>
        <v>66.306767138012717</v>
      </c>
      <c r="J126" s="228">
        <f t="shared" si="56"/>
        <v>67.63290248077297</v>
      </c>
      <c r="K126" s="228">
        <f t="shared" si="56"/>
        <v>68.98556053038844</v>
      </c>
      <c r="L126" s="228">
        <f t="shared" si="56"/>
        <v>70.365271740996207</v>
      </c>
      <c r="M126" s="228">
        <f t="shared" si="56"/>
        <v>71.772577175816139</v>
      </c>
      <c r="N126" s="228">
        <f t="shared" si="56"/>
        <v>73.208028719332447</v>
      </c>
      <c r="O126" s="228">
        <f t="shared" si="56"/>
        <v>74.6721892937191</v>
      </c>
      <c r="P126" s="228">
        <f t="shared" si="56"/>
        <v>76.165633079593491</v>
      </c>
      <c r="Q126" s="228">
        <f t="shared" si="56"/>
        <v>77.688945741185364</v>
      </c>
      <c r="R126" s="228">
        <f t="shared" si="56"/>
        <v>79.242724656009074</v>
      </c>
    </row>
    <row r="127" spans="2:18" x14ac:dyDescent="0.25">
      <c r="B127" s="168" t="s">
        <v>272</v>
      </c>
      <c r="C127" s="168"/>
      <c r="D127" s="183"/>
      <c r="E127" s="183"/>
      <c r="F127" s="168"/>
      <c r="G127" s="211"/>
      <c r="H127" s="211"/>
      <c r="I127" s="211"/>
      <c r="J127" s="211"/>
      <c r="K127" s="211"/>
      <c r="L127" s="211"/>
      <c r="M127" s="211"/>
      <c r="N127" s="211"/>
      <c r="O127" s="211"/>
      <c r="P127" s="211"/>
      <c r="Q127" s="211"/>
      <c r="R127" s="211"/>
    </row>
    <row r="128" spans="2:18" ht="15.6" x14ac:dyDescent="0.25">
      <c r="B128" s="672" t="s">
        <v>273</v>
      </c>
      <c r="C128" s="193" t="s">
        <v>545</v>
      </c>
      <c r="D128" s="172">
        <f>AVERAGE(F128:R128)</f>
        <v>135.34308180425796</v>
      </c>
      <c r="E128" s="172"/>
      <c r="F128" s="219">
        <f>'И. Д.'!G61</f>
        <v>118.5</v>
      </c>
      <c r="G128" s="219">
        <f>F128*(1+'цены и инфл'!E29)</f>
        <v>119.44800000000001</v>
      </c>
      <c r="H128" s="219">
        <f>G128*(1+'цены и инфл'!F29)</f>
        <v>123.15088799999999</v>
      </c>
      <c r="I128" s="219">
        <f>H128*(1+'цены и инфл'!G29)</f>
        <v>127.70747085599999</v>
      </c>
      <c r="J128" s="219">
        <f>I128*(1+'цены и инфл'!H29)</f>
        <v>130.26162027312</v>
      </c>
      <c r="K128" s="219">
        <f>J128*(1+'цены и инфл'!I29)</f>
        <v>132.8668526785824</v>
      </c>
      <c r="L128" s="219">
        <f>K128*(1+'цены и инфл'!J29)</f>
        <v>135.52418973215404</v>
      </c>
      <c r="M128" s="219">
        <f>L128*(1+'цены и инфл'!K29)</f>
        <v>138.23467352679714</v>
      </c>
      <c r="N128" s="219">
        <f>M128*(1+'цены и инфл'!L29)</f>
        <v>140.99936699733308</v>
      </c>
      <c r="O128" s="219">
        <f>N128*(1+'цены и инфл'!M29)</f>
        <v>143.81935433727975</v>
      </c>
      <c r="P128" s="219">
        <f>O128*(1+'цены и инфл'!N29)</f>
        <v>146.69574142402536</v>
      </c>
      <c r="Q128" s="219">
        <f>P128*(1+'цены и инфл'!O29)</f>
        <v>149.62965625250587</v>
      </c>
      <c r="R128" s="219">
        <f>Q128*(1+'цены и инфл'!P29)</f>
        <v>152.62224937755599</v>
      </c>
    </row>
    <row r="129" spans="2:18" x14ac:dyDescent="0.25">
      <c r="B129" s="673"/>
      <c r="C129" s="209" t="s">
        <v>271</v>
      </c>
      <c r="D129" s="165">
        <f>SUM(F129:R129)</f>
        <v>103461.26746708524</v>
      </c>
      <c r="E129" s="167"/>
      <c r="F129" s="211">
        <f>F128*F96</f>
        <v>6561.9375</v>
      </c>
      <c r="G129" s="211">
        <f t="shared" ref="G129:R129" si="57">G128*G96</f>
        <v>6879.0103199999994</v>
      </c>
      <c r="H129" s="211">
        <f t="shared" si="57"/>
        <v>7637.8180737599996</v>
      </c>
      <c r="I129" s="211">
        <f t="shared" si="57"/>
        <v>8486.1614383811993</v>
      </c>
      <c r="J129" s="211">
        <f t="shared" si="57"/>
        <v>8655.8846671488245</v>
      </c>
      <c r="K129" s="211">
        <f t="shared" si="57"/>
        <v>8829.0023604918006</v>
      </c>
      <c r="L129" s="211">
        <f t="shared" si="57"/>
        <v>9005.5824077016368</v>
      </c>
      <c r="M129" s="211">
        <f t="shared" si="57"/>
        <v>9185.6940558556707</v>
      </c>
      <c r="N129" s="211">
        <f t="shared" si="57"/>
        <v>9369.4079369727842</v>
      </c>
      <c r="O129" s="211">
        <f t="shared" si="57"/>
        <v>9556.7960957122395</v>
      </c>
      <c r="P129" s="211">
        <f t="shared" si="57"/>
        <v>9747.9320176264846</v>
      </c>
      <c r="Q129" s="211">
        <f t="shared" si="57"/>
        <v>5302.8750175888072</v>
      </c>
      <c r="R129" s="211">
        <f t="shared" si="57"/>
        <v>4243.1655758457919</v>
      </c>
    </row>
    <row r="130" spans="2:18" x14ac:dyDescent="0.25">
      <c r="B130" s="672" t="s">
        <v>274</v>
      </c>
      <c r="C130" s="193" t="s">
        <v>275</v>
      </c>
      <c r="D130" s="172">
        <f>AVERAGE(F130:R130)</f>
        <v>17.109192957196491</v>
      </c>
      <c r="E130" s="172"/>
      <c r="F130" s="219">
        <f>'И. Д.'!G62</f>
        <v>14.98</v>
      </c>
      <c r="G130" s="219">
        <f>F130*(1+'цены и инфл'!E29)</f>
        <v>15.09984</v>
      </c>
      <c r="H130" s="219">
        <f>G130*(1+'цены и инфл'!F29)</f>
        <v>15.567935039999998</v>
      </c>
      <c r="I130" s="219">
        <f>H130*(1+'цены и инфл'!G29)</f>
        <v>16.143948636479998</v>
      </c>
      <c r="J130" s="219">
        <f>I130*(1+'цены и инфл'!H29)</f>
        <v>16.466827609209599</v>
      </c>
      <c r="K130" s="219">
        <f>J130*(1+'цены и инфл'!I29)</f>
        <v>16.79616416139379</v>
      </c>
      <c r="L130" s="219">
        <f>K130*(1+'цены и инфл'!J29)</f>
        <v>17.132087444621668</v>
      </c>
      <c r="M130" s="219">
        <f>L130*(1+'цены и инфл'!K29)</f>
        <v>17.474729193514101</v>
      </c>
      <c r="N130" s="219">
        <f>M130*(1+'цены и инфл'!L29)</f>
        <v>17.824223777384383</v>
      </c>
      <c r="O130" s="219">
        <f>N130*(1+'цены и инфл'!M29)</f>
        <v>18.180708252932071</v>
      </c>
      <c r="P130" s="219">
        <f>O130*(1+'цены и инфл'!N29)</f>
        <v>18.544322417990713</v>
      </c>
      <c r="Q130" s="219">
        <f>P130*(1+'цены и инфл'!O29)</f>
        <v>18.915208866350529</v>
      </c>
      <c r="R130" s="219">
        <f>Q130*(1+'цены и инфл'!P29)</f>
        <v>19.293513043677539</v>
      </c>
    </row>
    <row r="131" spans="2:18" x14ac:dyDescent="0.25">
      <c r="B131" s="673"/>
      <c r="C131" s="209" t="s">
        <v>271</v>
      </c>
      <c r="D131" s="165">
        <f>SUM(F131:R131)</f>
        <v>295234.78901180805</v>
      </c>
      <c r="E131" s="167"/>
      <c r="F131" s="211">
        <f>F130*F95</f>
        <v>18725</v>
      </c>
      <c r="G131" s="211">
        <f t="shared" ref="G131:R131" si="58">G130*G95</f>
        <v>19629.792000000001</v>
      </c>
      <c r="H131" s="211">
        <f t="shared" si="58"/>
        <v>21795.109055999998</v>
      </c>
      <c r="I131" s="211">
        <f t="shared" si="58"/>
        <v>24215.922954719998</v>
      </c>
      <c r="J131" s="211">
        <f t="shared" si="58"/>
        <v>24700.241413814398</v>
      </c>
      <c r="K131" s="211">
        <f t="shared" si="58"/>
        <v>25194.246242090685</v>
      </c>
      <c r="L131" s="211">
        <f t="shared" si="58"/>
        <v>25698.1311669325</v>
      </c>
      <c r="M131" s="211">
        <f t="shared" si="58"/>
        <v>26212.093790271152</v>
      </c>
      <c r="N131" s="211">
        <f t="shared" si="58"/>
        <v>26736.335666076575</v>
      </c>
      <c r="O131" s="211">
        <f t="shared" si="58"/>
        <v>27271.062379398107</v>
      </c>
      <c r="P131" s="211">
        <f t="shared" si="58"/>
        <v>27816.483626986072</v>
      </c>
      <c r="Q131" s="211">
        <f t="shared" si="58"/>
        <v>15132.167093080423</v>
      </c>
      <c r="R131" s="211">
        <f t="shared" si="58"/>
        <v>12108.203622438105</v>
      </c>
    </row>
    <row r="132" spans="2:18" ht="15.6" x14ac:dyDescent="0.25">
      <c r="B132" s="672" t="s">
        <v>392</v>
      </c>
      <c r="C132" s="193" t="s">
        <v>545</v>
      </c>
      <c r="D132" s="172">
        <f>AVERAGE(F132:R132)</f>
        <v>31.671423277907799</v>
      </c>
      <c r="E132" s="172"/>
      <c r="F132" s="219">
        <f>'И. Д.'!G63</f>
        <v>27.73</v>
      </c>
      <c r="G132" s="219">
        <f>F132*(1+'цены и инфл'!E29)</f>
        <v>27.951840000000001</v>
      </c>
      <c r="H132" s="219">
        <f>G132*(1+'цены и инфл'!F29)</f>
        <v>28.818347039999999</v>
      </c>
      <c r="I132" s="219">
        <f>H132*(1+'цены и инфл'!G29)</f>
        <v>29.884625880479998</v>
      </c>
      <c r="J132" s="219">
        <f>I132*(1+'цены и инфл'!H29)</f>
        <v>30.4823183980896</v>
      </c>
      <c r="K132" s="219">
        <f>J132*(1+'цены и инфл'!I29)</f>
        <v>31.091964766051394</v>
      </c>
      <c r="L132" s="219">
        <f>K132*(1+'цены и инфл'!J29)</f>
        <v>31.713804061372421</v>
      </c>
      <c r="M132" s="219">
        <f>L132*(1+'цены и инфл'!K29)</f>
        <v>32.348080142599869</v>
      </c>
      <c r="N132" s="219">
        <f>M132*(1+'цены и инфл'!L29)</f>
        <v>32.995041745451864</v>
      </c>
      <c r="O132" s="219">
        <f>N132*(1+'цены и инфл'!M29)</f>
        <v>33.654942580360903</v>
      </c>
      <c r="P132" s="219">
        <f>O132*(1+'цены и инфл'!N29)</f>
        <v>34.328041431968124</v>
      </c>
      <c r="Q132" s="219">
        <f>P132*(1+'цены и инфл'!O29)</f>
        <v>35.014602260607489</v>
      </c>
      <c r="R132" s="219">
        <f>Q132*(1+'цены и инфл'!P29)</f>
        <v>35.714894305819641</v>
      </c>
    </row>
    <row r="133" spans="2:18" x14ac:dyDescent="0.25">
      <c r="B133" s="673"/>
      <c r="C133" s="209" t="s">
        <v>271</v>
      </c>
      <c r="D133" s="165">
        <f>SUM(F133:R133)</f>
        <v>144200.37093076497</v>
      </c>
      <c r="E133" s="167"/>
      <c r="F133" s="211">
        <f>F132*F97</f>
        <v>9145.778364116095</v>
      </c>
      <c r="G133" s="211">
        <f t="shared" ref="G133:R133" si="59">G132*G97</f>
        <v>9587.7023746701852</v>
      </c>
      <c r="H133" s="211">
        <f t="shared" si="59"/>
        <v>10645.299698153034</v>
      </c>
      <c r="I133" s="211">
        <f t="shared" si="59"/>
        <v>11827.688343197888</v>
      </c>
      <c r="J133" s="211">
        <f t="shared" si="59"/>
        <v>12064.242110061847</v>
      </c>
      <c r="K133" s="211">
        <f t="shared" si="59"/>
        <v>12305.526952263084</v>
      </c>
      <c r="L133" s="211">
        <f t="shared" si="59"/>
        <v>12551.637491308345</v>
      </c>
      <c r="M133" s="211">
        <f t="shared" si="59"/>
        <v>12802.670241134512</v>
      </c>
      <c r="N133" s="211">
        <f t="shared" si="59"/>
        <v>13058.723645957201</v>
      </c>
      <c r="O133" s="211">
        <f t="shared" si="59"/>
        <v>13319.898118876346</v>
      </c>
      <c r="P133" s="211">
        <f t="shared" si="59"/>
        <v>13586.296081253875</v>
      </c>
      <c r="Q133" s="211">
        <f t="shared" si="59"/>
        <v>7390.9450682021088</v>
      </c>
      <c r="R133" s="211">
        <f t="shared" si="59"/>
        <v>5913.9624415704448</v>
      </c>
    </row>
    <row r="134" spans="2:18" x14ac:dyDescent="0.25">
      <c r="B134" s="674" t="s">
        <v>403</v>
      </c>
      <c r="C134" s="582" t="s">
        <v>39</v>
      </c>
      <c r="D134" s="554">
        <f>AVERAGE(F134:T134)</f>
        <v>68.973575613157294</v>
      </c>
      <c r="E134" s="167"/>
      <c r="F134" s="211">
        <f>'И. Д.'!G64</f>
        <v>60.39</v>
      </c>
      <c r="G134" s="211">
        <f>F134*(1+'цены и инфл'!E29)</f>
        <v>60.87312</v>
      </c>
      <c r="H134" s="211">
        <f>G134*(1+'цены и инфл'!F29)</f>
        <v>62.760186719999993</v>
      </c>
      <c r="I134" s="211">
        <f>H134*(1+'цены и инфл'!G29)</f>
        <v>65.082313628639994</v>
      </c>
      <c r="J134" s="211">
        <f>I134*(1+'цены и инфл'!H29)</f>
        <v>66.383959901212791</v>
      </c>
      <c r="K134" s="211">
        <f>J134*(1+'цены и инфл'!I29)</f>
        <v>67.711639099237047</v>
      </c>
      <c r="L134" s="211">
        <f>K134*(1+'цены и инфл'!J29)</f>
        <v>69.065871881221796</v>
      </c>
      <c r="M134" s="211">
        <f>L134*(1+'цены и инфл'!K29)</f>
        <v>70.447189318846227</v>
      </c>
      <c r="N134" s="211">
        <f>M134*(1+'цены и инфл'!L29)</f>
        <v>71.856133105223151</v>
      </c>
      <c r="O134" s="211">
        <f>N134*(1+'цены и инфл'!M29)</f>
        <v>73.293255767327622</v>
      </c>
      <c r="P134" s="211">
        <f>O134*(1+'цены и инфл'!N29)</f>
        <v>74.759120882674182</v>
      </c>
      <c r="Q134" s="211">
        <f>P134*(1+'цены и инфл'!O29)</f>
        <v>76.254303300327663</v>
      </c>
      <c r="R134" s="211">
        <f>Q134*(1+'цены и инфл'!P29)</f>
        <v>77.779389366334215</v>
      </c>
    </row>
    <row r="135" spans="2:18" x14ac:dyDescent="0.25">
      <c r="B135" s="675"/>
      <c r="C135" s="556" t="s">
        <v>271</v>
      </c>
      <c r="D135" s="557">
        <f>SUM(F135:T135)</f>
        <v>0</v>
      </c>
      <c r="E135" s="167"/>
      <c r="F135" s="211"/>
      <c r="G135" s="211"/>
      <c r="H135" s="211"/>
      <c r="I135" s="211"/>
      <c r="J135" s="211"/>
      <c r="K135" s="211"/>
      <c r="L135" s="211"/>
      <c r="M135" s="211"/>
      <c r="N135" s="211"/>
      <c r="O135" s="211"/>
      <c r="P135" s="211"/>
      <c r="Q135" s="211"/>
      <c r="R135" s="211"/>
    </row>
    <row r="136" spans="2:18" x14ac:dyDescent="0.25">
      <c r="B136" s="672" t="s">
        <v>276</v>
      </c>
      <c r="C136" s="193" t="s">
        <v>275</v>
      </c>
      <c r="D136" s="172">
        <f>AVERAGE(F136:R136)</f>
        <v>27.856690001737146</v>
      </c>
      <c r="E136" s="172"/>
      <c r="F136" s="219">
        <f>('И. Д.'!G65+'И. Д.'!G66)</f>
        <v>24.39</v>
      </c>
      <c r="G136" s="219">
        <f>F136*(1+'цены и инфл'!E29)</f>
        <v>24.58512</v>
      </c>
      <c r="H136" s="219">
        <f>G136*(1+'цены и инфл'!F29)</f>
        <v>25.347258719999999</v>
      </c>
      <c r="I136" s="219">
        <f>H136*(1+'цены и инфл'!G29)</f>
        <v>26.285107292639996</v>
      </c>
      <c r="J136" s="219">
        <f>I136*(1+'цены и инфл'!H29)</f>
        <v>26.810809438492797</v>
      </c>
      <c r="K136" s="219">
        <f>J136*(1+'цены и инфл'!I29)</f>
        <v>27.347025627262653</v>
      </c>
      <c r="L136" s="219">
        <f>K136*(1+'цены и инфл'!J29)</f>
        <v>27.893966139807905</v>
      </c>
      <c r="M136" s="219">
        <f>L136*(1+'цены и инфл'!K29)</f>
        <v>28.451845462604062</v>
      </c>
      <c r="N136" s="219">
        <f>M136*(1+'цены и инфл'!L29)</f>
        <v>29.020882371856143</v>
      </c>
      <c r="O136" s="219">
        <f>N136*(1+'цены и инфл'!M29)</f>
        <v>29.601300019293266</v>
      </c>
      <c r="P136" s="219">
        <f>O136*(1+'цены и инфл'!N29)</f>
        <v>30.19332601967913</v>
      </c>
      <c r="Q136" s="219">
        <f>P136*(1+'цены и инфл'!O29)</f>
        <v>30.797192540072714</v>
      </c>
      <c r="R136" s="219">
        <f>Q136*(1+'цены и инфл'!P29)</f>
        <v>31.413136390874168</v>
      </c>
    </row>
    <row r="137" spans="2:18" x14ac:dyDescent="0.25">
      <c r="B137" s="673"/>
      <c r="C137" s="209" t="s">
        <v>271</v>
      </c>
      <c r="D137" s="165">
        <f>SUM(F137:R137)</f>
        <v>480692.69052056049</v>
      </c>
      <c r="E137" s="167"/>
      <c r="F137" s="211">
        <f>F136*F95</f>
        <v>30487.5</v>
      </c>
      <c r="G137" s="211">
        <f t="shared" ref="G137:R137" si="60">G136*G95</f>
        <v>31960.655999999999</v>
      </c>
      <c r="H137" s="211">
        <f t="shared" si="60"/>
        <v>35486.162208000002</v>
      </c>
      <c r="I137" s="211">
        <f t="shared" si="60"/>
        <v>39427.660938959991</v>
      </c>
      <c r="J137" s="211">
        <f t="shared" si="60"/>
        <v>40216.214157739196</v>
      </c>
      <c r="K137" s="211">
        <f t="shared" si="60"/>
        <v>41020.538440893979</v>
      </c>
      <c r="L137" s="211">
        <f t="shared" si="60"/>
        <v>41840.949209711856</v>
      </c>
      <c r="M137" s="211">
        <f t="shared" si="60"/>
        <v>42677.768193906093</v>
      </c>
      <c r="N137" s="211">
        <f t="shared" si="60"/>
        <v>43531.323557784213</v>
      </c>
      <c r="O137" s="211">
        <f t="shared" si="60"/>
        <v>44401.9500289399</v>
      </c>
      <c r="P137" s="211">
        <f t="shared" si="60"/>
        <v>45289.989029518692</v>
      </c>
      <c r="Q137" s="211">
        <f t="shared" si="60"/>
        <v>24637.754032058172</v>
      </c>
      <c r="R137" s="211">
        <f t="shared" si="60"/>
        <v>19714.224723048417</v>
      </c>
    </row>
    <row r="138" spans="2:18" x14ac:dyDescent="0.25">
      <c r="B138" s="672" t="s">
        <v>277</v>
      </c>
      <c r="C138" s="193" t="s">
        <v>275</v>
      </c>
      <c r="D138" s="172">
        <f>AVERAGE(F138:R138)</f>
        <v>10.953081472597752</v>
      </c>
      <c r="E138" s="172"/>
      <c r="F138" s="219">
        <f>'И. Д.'!G67</f>
        <v>9.59</v>
      </c>
      <c r="G138" s="219">
        <f>F138*(1+'цены и инфл'!E29)</f>
        <v>9.6667199999999998</v>
      </c>
      <c r="H138" s="219">
        <f>G138*(1+'цены и инфл'!F29)</f>
        <v>9.9663883199999983</v>
      </c>
      <c r="I138" s="219">
        <f>H138*(1+'цены и инфл'!G29)</f>
        <v>10.335144687839998</v>
      </c>
      <c r="J138" s="219">
        <f>I138*(1+'цены и инфл'!H29)</f>
        <v>10.541847581596798</v>
      </c>
      <c r="K138" s="219">
        <f>J138*(1+'цены и инфл'!I29)</f>
        <v>10.752684533228734</v>
      </c>
      <c r="L138" s="219">
        <f>K138*(1+'цены и инфл'!J29)</f>
        <v>10.96773822389331</v>
      </c>
      <c r="M138" s="219">
        <f>L138*(1+'цены и инфл'!K29)</f>
        <v>11.187092988371177</v>
      </c>
      <c r="N138" s="219">
        <f>M138*(1+'цены и инфл'!L29)</f>
        <v>11.410834848138601</v>
      </c>
      <c r="O138" s="219">
        <f>N138*(1+'цены и инфл'!M29)</f>
        <v>11.639051545101372</v>
      </c>
      <c r="P138" s="219">
        <f>O138*(1+'цены и инфл'!N29)</f>
        <v>11.871832576003399</v>
      </c>
      <c r="Q138" s="219">
        <f>P138*(1+'цены и инфл'!O29)</f>
        <v>12.109269227523468</v>
      </c>
      <c r="R138" s="219">
        <f>Q138*(1+'цены и инфл'!P29)</f>
        <v>12.351454612073937</v>
      </c>
    </row>
    <row r="139" spans="2:18" x14ac:dyDescent="0.25">
      <c r="B139" s="673"/>
      <c r="C139" s="209" t="s">
        <v>271</v>
      </c>
      <c r="D139" s="165">
        <f>SUM(F139:R139)</f>
        <v>189005.44904026957</v>
      </c>
      <c r="E139" s="167"/>
      <c r="F139" s="211">
        <f>F138*F95</f>
        <v>11987.5</v>
      </c>
      <c r="G139" s="211">
        <f t="shared" ref="G139:R139" si="61">G138*G95</f>
        <v>12566.735999999999</v>
      </c>
      <c r="H139" s="211">
        <f t="shared" si="61"/>
        <v>13952.943647999997</v>
      </c>
      <c r="I139" s="211">
        <f t="shared" si="61"/>
        <v>15502.717031759998</v>
      </c>
      <c r="J139" s="211">
        <f t="shared" si="61"/>
        <v>15812.771372395197</v>
      </c>
      <c r="K139" s="211">
        <f t="shared" si="61"/>
        <v>16129.026799843101</v>
      </c>
      <c r="L139" s="211">
        <f t="shared" si="61"/>
        <v>16451.607335839966</v>
      </c>
      <c r="M139" s="211">
        <f t="shared" si="61"/>
        <v>16780.639482556766</v>
      </c>
      <c r="N139" s="211">
        <f t="shared" si="61"/>
        <v>17116.252272207901</v>
      </c>
      <c r="O139" s="211">
        <f t="shared" si="61"/>
        <v>17458.57731765206</v>
      </c>
      <c r="P139" s="211">
        <f t="shared" si="61"/>
        <v>17807.748864005098</v>
      </c>
      <c r="Q139" s="211">
        <f t="shared" si="61"/>
        <v>9687.4153820187748</v>
      </c>
      <c r="R139" s="211">
        <f t="shared" si="61"/>
        <v>7751.5135339907483</v>
      </c>
    </row>
    <row r="140" spans="2:18" x14ac:dyDescent="0.25">
      <c r="B140" s="660" t="s">
        <v>278</v>
      </c>
      <c r="C140" s="224" t="s">
        <v>271</v>
      </c>
      <c r="D140" s="165">
        <f>SUM(F140:R140)</f>
        <v>877391.05268133839</v>
      </c>
      <c r="E140" s="177"/>
      <c r="F140" s="229">
        <f>F143+F151+F163</f>
        <v>55647.735541088201</v>
      </c>
      <c r="G140" s="229">
        <f>G143+G151+G163</f>
        <v>58336.634122433585</v>
      </c>
      <c r="H140" s="229">
        <f t="shared" ref="H140:R140" si="62">H143+H151+H163</f>
        <v>64771.613609477397</v>
      </c>
      <c r="I140" s="229">
        <f t="shared" si="62"/>
        <v>71965.889263958641</v>
      </c>
      <c r="J140" s="229">
        <f t="shared" si="62"/>
        <v>73405.207049237812</v>
      </c>
      <c r="K140" s="229">
        <f t="shared" si="62"/>
        <v>74873.311190222565</v>
      </c>
      <c r="L140" s="229">
        <f t="shared" si="62"/>
        <v>76370.777414027019</v>
      </c>
      <c r="M140" s="229">
        <f t="shared" si="62"/>
        <v>77898.192962307556</v>
      </c>
      <c r="N140" s="229">
        <f t="shared" si="62"/>
        <v>79456.156821553697</v>
      </c>
      <c r="O140" s="229">
        <f t="shared" si="62"/>
        <v>81045.279957984778</v>
      </c>
      <c r="P140" s="229">
        <f t="shared" si="62"/>
        <v>82666.185557144461</v>
      </c>
      <c r="Q140" s="229">
        <f t="shared" si="62"/>
        <v>44970.4049430866</v>
      </c>
      <c r="R140" s="229">
        <f t="shared" si="62"/>
        <v>35983.664248816109</v>
      </c>
    </row>
    <row r="141" spans="2:18" x14ac:dyDescent="0.25">
      <c r="B141" s="661"/>
      <c r="C141" s="564" t="s">
        <v>3</v>
      </c>
      <c r="D141" s="230">
        <f>D140/D36</f>
        <v>50.489832483646794</v>
      </c>
      <c r="E141" s="230"/>
      <c r="F141" s="230">
        <f t="shared" ref="F141:R141" si="63">F140/F36</f>
        <v>44.518188432870559</v>
      </c>
      <c r="G141" s="230">
        <f t="shared" si="63"/>
        <v>44.874333940333528</v>
      </c>
      <c r="H141" s="230">
        <f t="shared" si="63"/>
        <v>46.265438292483857</v>
      </c>
      <c r="I141" s="230">
        <f t="shared" si="63"/>
        <v>47.97725950930576</v>
      </c>
      <c r="J141" s="230">
        <f t="shared" si="63"/>
        <v>48.936804699491873</v>
      </c>
      <c r="K141" s="230">
        <f t="shared" si="63"/>
        <v>49.915540793481711</v>
      </c>
      <c r="L141" s="230">
        <f t="shared" si="63"/>
        <v>50.913851609351347</v>
      </c>
      <c r="M141" s="230">
        <f t="shared" si="63"/>
        <v>51.93212864153837</v>
      </c>
      <c r="N141" s="230">
        <f t="shared" si="63"/>
        <v>52.97077121436913</v>
      </c>
      <c r="O141" s="230">
        <f t="shared" si="63"/>
        <v>54.030186638656517</v>
      </c>
      <c r="P141" s="230">
        <f t="shared" si="63"/>
        <v>55.110790371429644</v>
      </c>
      <c r="Q141" s="230">
        <f t="shared" si="63"/>
        <v>56.213006178858251</v>
      </c>
      <c r="R141" s="230">
        <f t="shared" si="63"/>
        <v>57.33726630243541</v>
      </c>
    </row>
    <row r="142" spans="2:18" x14ac:dyDescent="0.25">
      <c r="B142" s="168" t="s">
        <v>272</v>
      </c>
      <c r="C142" s="564"/>
      <c r="D142" s="180"/>
      <c r="E142" s="180"/>
      <c r="F142" s="219"/>
      <c r="G142" s="219"/>
      <c r="H142" s="219"/>
      <c r="I142" s="219"/>
      <c r="J142" s="219"/>
      <c r="K142" s="219"/>
      <c r="L142" s="219"/>
      <c r="M142" s="219"/>
      <c r="N142" s="219"/>
      <c r="O142" s="219"/>
      <c r="P142" s="219"/>
      <c r="Q142" s="219"/>
      <c r="R142" s="219"/>
    </row>
    <row r="143" spans="2:18" x14ac:dyDescent="0.25">
      <c r="B143" s="662" t="s">
        <v>279</v>
      </c>
      <c r="C143" s="563" t="s">
        <v>271</v>
      </c>
      <c r="D143" s="165">
        <f>SUM(F143:R143)</f>
        <v>585936.600622233</v>
      </c>
      <c r="E143" s="177"/>
      <c r="F143" s="229">
        <f>F146+F148+F150</f>
        <v>37162.5</v>
      </c>
      <c r="G143" s="229">
        <f t="shared" ref="G143:R143" si="64">G146+G148+G150</f>
        <v>38958.192000000003</v>
      </c>
      <c r="H143" s="229">
        <f t="shared" si="64"/>
        <v>43255.580255999994</v>
      </c>
      <c r="I143" s="229">
        <f t="shared" si="64"/>
        <v>48060.039348719991</v>
      </c>
      <c r="J143" s="229">
        <f t="shared" si="64"/>
        <v>49021.240135694396</v>
      </c>
      <c r="K143" s="229">
        <f t="shared" si="64"/>
        <v>50001.664938408278</v>
      </c>
      <c r="L143" s="229">
        <f t="shared" si="64"/>
        <v>51001.698237176446</v>
      </c>
      <c r="M143" s="229">
        <f t="shared" si="64"/>
        <v>52021.732201919971</v>
      </c>
      <c r="N143" s="229">
        <f t="shared" si="64"/>
        <v>53062.166845958374</v>
      </c>
      <c r="O143" s="229">
        <f t="shared" si="64"/>
        <v>54123.410182877546</v>
      </c>
      <c r="P143" s="229">
        <f t="shared" si="64"/>
        <v>55205.878386535085</v>
      </c>
      <c r="Q143" s="229">
        <f t="shared" si="64"/>
        <v>30031.997842275086</v>
      </c>
      <c r="R143" s="229">
        <f t="shared" si="64"/>
        <v>24030.500246667878</v>
      </c>
    </row>
    <row r="144" spans="2:18" x14ac:dyDescent="0.25">
      <c r="B144" s="663"/>
      <c r="C144" s="564" t="s">
        <v>3</v>
      </c>
      <c r="D144" s="230">
        <f>D143/D36</f>
        <v>33.717965006646381</v>
      </c>
      <c r="E144" s="230"/>
      <c r="F144" s="230">
        <f t="shared" ref="F144:R144" si="65">F143/F36</f>
        <v>29.73</v>
      </c>
      <c r="G144" s="230">
        <f t="shared" si="65"/>
        <v>29.967840000000002</v>
      </c>
      <c r="H144" s="230">
        <f t="shared" si="65"/>
        <v>30.896843039999997</v>
      </c>
      <c r="I144" s="230">
        <f t="shared" si="65"/>
        <v>32.040026232479995</v>
      </c>
      <c r="J144" s="230">
        <f t="shared" si="65"/>
        <v>32.680826757129594</v>
      </c>
      <c r="K144" s="230">
        <f t="shared" si="65"/>
        <v>33.334443292272184</v>
      </c>
      <c r="L144" s="230">
        <f t="shared" si="65"/>
        <v>34.001132158117628</v>
      </c>
      <c r="M144" s="230">
        <f t="shared" si="65"/>
        <v>34.68115480127998</v>
      </c>
      <c r="N144" s="230">
        <f t="shared" si="65"/>
        <v>35.374777897305584</v>
      </c>
      <c r="O144" s="230">
        <f t="shared" si="65"/>
        <v>36.082273455251695</v>
      </c>
      <c r="P144" s="230">
        <f t="shared" si="65"/>
        <v>36.803918924356722</v>
      </c>
      <c r="Q144" s="230">
        <f t="shared" si="65"/>
        <v>37.539997302843858</v>
      </c>
      <c r="R144" s="230">
        <f t="shared" si="65"/>
        <v>38.290797248900745</v>
      </c>
    </row>
    <row r="145" spans="2:18" x14ac:dyDescent="0.25">
      <c r="B145" s="656" t="s">
        <v>280</v>
      </c>
      <c r="C145" s="193" t="s">
        <v>275</v>
      </c>
      <c r="D145" s="172">
        <f>AVERAGE(F145:R145)</f>
        <v>24.498811010137828</v>
      </c>
      <c r="E145" s="172"/>
      <c r="F145" s="219">
        <f>'И. Д.'!G70</f>
        <v>21.45</v>
      </c>
      <c r="G145" s="219">
        <f>F145*(1+'цены и инфл'!E29)</f>
        <v>21.621600000000001</v>
      </c>
      <c r="H145" s="219">
        <f>G145*(1+'цены и инфл'!F29)</f>
        <v>22.291869599999998</v>
      </c>
      <c r="I145" s="219">
        <f>H145*(1+'цены и инфл'!G29)</f>
        <v>23.116668775199997</v>
      </c>
      <c r="J145" s="219">
        <f>I145*(1+'цены и инфл'!H29)</f>
        <v>23.579002150703996</v>
      </c>
      <c r="K145" s="219">
        <f>J145*(1+'цены и инфл'!I29)</f>
        <v>24.050582193718075</v>
      </c>
      <c r="L145" s="219">
        <f>K145*(1+'цены и инфл'!J29)</f>
        <v>24.531593837592435</v>
      </c>
      <c r="M145" s="219">
        <f>L145*(1+'цены и инфл'!K29)</f>
        <v>25.022225714344284</v>
      </c>
      <c r="N145" s="219">
        <f>M145*(1+'цены и инфл'!L29)</f>
        <v>25.522670228631171</v>
      </c>
      <c r="O145" s="219">
        <f>N145*(1+'цены и инфл'!M29)</f>
        <v>26.033123633203793</v>
      </c>
      <c r="P145" s="219">
        <f>O145*(1+'цены и инфл'!N29)</f>
        <v>26.553786105867868</v>
      </c>
      <c r="Q145" s="219">
        <f>P145*(1+'цены и инфл'!O29)</f>
        <v>27.084861827985225</v>
      </c>
      <c r="R145" s="219">
        <f>Q145*(1+'цены и инфл'!P29)</f>
        <v>27.626559064544931</v>
      </c>
    </row>
    <row r="146" spans="2:18" x14ac:dyDescent="0.25">
      <c r="B146" s="658"/>
      <c r="C146" s="209" t="s">
        <v>271</v>
      </c>
      <c r="D146" s="165">
        <f>SUM(F146:R146)</f>
        <v>422749.41417244863</v>
      </c>
      <c r="E146" s="167"/>
      <c r="F146" s="211">
        <f>F145*F36</f>
        <v>26812.5</v>
      </c>
      <c r="G146" s="211">
        <f t="shared" ref="G146:R146" si="66">G145*G36</f>
        <v>28108.080000000002</v>
      </c>
      <c r="H146" s="211">
        <f t="shared" si="66"/>
        <v>31208.617439999998</v>
      </c>
      <c r="I146" s="211">
        <f t="shared" si="66"/>
        <v>34675.003162799992</v>
      </c>
      <c r="J146" s="211">
        <f t="shared" si="66"/>
        <v>35368.503226055996</v>
      </c>
      <c r="K146" s="211">
        <f t="shared" si="66"/>
        <v>36075.87329057711</v>
      </c>
      <c r="L146" s="211">
        <f t="shared" si="66"/>
        <v>36797.390756388653</v>
      </c>
      <c r="M146" s="211">
        <f t="shared" si="66"/>
        <v>37533.338571516426</v>
      </c>
      <c r="N146" s="211">
        <f t="shared" si="66"/>
        <v>38284.005342946759</v>
      </c>
      <c r="O146" s="211">
        <f t="shared" si="66"/>
        <v>39049.685449805693</v>
      </c>
      <c r="P146" s="211">
        <f t="shared" si="66"/>
        <v>39830.679158801802</v>
      </c>
      <c r="Q146" s="211">
        <f t="shared" si="66"/>
        <v>21667.889462388179</v>
      </c>
      <c r="R146" s="211">
        <f t="shared" si="66"/>
        <v>17337.848311168043</v>
      </c>
    </row>
    <row r="147" spans="2:18" x14ac:dyDescent="0.25">
      <c r="B147" s="656" t="s">
        <v>396</v>
      </c>
      <c r="C147" s="193" t="s">
        <v>275</v>
      </c>
      <c r="D147" s="172">
        <f>AVERAGE(F147:R147)</f>
        <v>7.1840336248842416</v>
      </c>
      <c r="E147" s="167"/>
      <c r="F147" s="211">
        <f>'И. Д.'!G71</f>
        <v>6.29</v>
      </c>
      <c r="G147" s="219">
        <f>F147*(1+'цены и инфл'!E29)</f>
        <v>6.3403200000000002</v>
      </c>
      <c r="H147" s="219">
        <f>G147*(1+'цены и инфл'!F29)</f>
        <v>6.53686992</v>
      </c>
      <c r="I147" s="219">
        <f>H147*(1+'цены и инфл'!G29)</f>
        <v>6.7787341070399991</v>
      </c>
      <c r="J147" s="219">
        <f>I147*(1+'цены и инфл'!H29)</f>
        <v>6.9143087891807991</v>
      </c>
      <c r="K147" s="219">
        <f>J147*(1+'цены и инфл'!I29)</f>
        <v>7.0525949649644151</v>
      </c>
      <c r="L147" s="219">
        <f>K147*(1+'цены и инфл'!J29)</f>
        <v>7.1936468642637035</v>
      </c>
      <c r="M147" s="219">
        <f>L147*(1+'цены и инфл'!K29)</f>
        <v>7.3375198015489778</v>
      </c>
      <c r="N147" s="219">
        <f>M147*(1+'цены и инфл'!L29)</f>
        <v>7.4842701975799573</v>
      </c>
      <c r="O147" s="219">
        <f>N147*(1+'цены и инфл'!M29)</f>
        <v>7.6339556015315564</v>
      </c>
      <c r="P147" s="219">
        <f>O147*(1+'цены и инфл'!N29)</f>
        <v>7.7866347135621874</v>
      </c>
      <c r="Q147" s="219">
        <f>P147*(1+'цены и инфл'!O29)</f>
        <v>7.942367407833431</v>
      </c>
      <c r="R147" s="219">
        <f>Q147*(1+'цены и инфл'!P29)</f>
        <v>8.1012147559900995</v>
      </c>
    </row>
    <row r="148" spans="2:18" x14ac:dyDescent="0.25">
      <c r="B148" s="658"/>
      <c r="C148" s="209" t="s">
        <v>271</v>
      </c>
      <c r="D148" s="165">
        <f>SUM(F148:R148)</f>
        <v>123967.07762912364</v>
      </c>
      <c r="E148" s="167"/>
      <c r="F148" s="211">
        <f>F147*F36</f>
        <v>7862.5</v>
      </c>
      <c r="G148" s="211">
        <f t="shared" ref="G148:R148" si="67">G147*G36</f>
        <v>8242.4160000000011</v>
      </c>
      <c r="H148" s="211">
        <f t="shared" si="67"/>
        <v>9151.6178880000007</v>
      </c>
      <c r="I148" s="211">
        <f t="shared" si="67"/>
        <v>10168.101160559998</v>
      </c>
      <c r="J148" s="211">
        <f t="shared" si="67"/>
        <v>10371.463183771199</v>
      </c>
      <c r="K148" s="211">
        <f t="shared" si="67"/>
        <v>10578.892447446622</v>
      </c>
      <c r="L148" s="211">
        <f t="shared" si="67"/>
        <v>10790.470296395555</v>
      </c>
      <c r="M148" s="211">
        <f t="shared" si="67"/>
        <v>11006.279702323467</v>
      </c>
      <c r="N148" s="211">
        <f t="shared" si="67"/>
        <v>11226.405296369936</v>
      </c>
      <c r="O148" s="211">
        <f t="shared" si="67"/>
        <v>11450.933402297334</v>
      </c>
      <c r="P148" s="211">
        <f t="shared" si="67"/>
        <v>11679.952070343281</v>
      </c>
      <c r="Q148" s="211">
        <f t="shared" si="67"/>
        <v>6353.8939262667445</v>
      </c>
      <c r="R148" s="211">
        <f t="shared" si="67"/>
        <v>5084.1522553495106</v>
      </c>
    </row>
    <row r="149" spans="2:18" x14ac:dyDescent="0.25">
      <c r="B149" s="656" t="s">
        <v>281</v>
      </c>
      <c r="C149" s="193" t="s">
        <v>275</v>
      </c>
      <c r="D149" s="172">
        <f>AVERAGE(F149:R149)</f>
        <v>2.2728500657423916</v>
      </c>
      <c r="E149" s="172"/>
      <c r="F149" s="219">
        <f>'И. Д.'!G72</f>
        <v>1.99</v>
      </c>
      <c r="G149" s="219">
        <f>F149*(1+'цены и инфл'!E29)</f>
        <v>2.0059200000000001</v>
      </c>
      <c r="H149" s="219">
        <f>G149*(1+'цены и инфл'!F29)</f>
        <v>2.0681035200000002</v>
      </c>
      <c r="I149" s="219">
        <f>H149*(1+'цены и инфл'!G29)</f>
        <v>2.1446233502399998</v>
      </c>
      <c r="J149" s="219">
        <f>I149*(1+'цены и инфл'!H29)</f>
        <v>2.1875158172447997</v>
      </c>
      <c r="K149" s="219">
        <f>J149*(1+'цены и инфл'!I29)</f>
        <v>2.2312661335896959</v>
      </c>
      <c r="L149" s="219">
        <f>K149*(1+'цены и инфл'!J29)</f>
        <v>2.27589145626149</v>
      </c>
      <c r="M149" s="219">
        <f>L149*(1+'цены и инфл'!K29)</f>
        <v>2.3214092853867201</v>
      </c>
      <c r="N149" s="219">
        <f>M149*(1+'цены и инфл'!L29)</f>
        <v>2.3678374710944547</v>
      </c>
      <c r="O149" s="219">
        <f>N149*(1+'цены и инфл'!M29)</f>
        <v>2.4151942205163439</v>
      </c>
      <c r="P149" s="219">
        <f>O149*(1+'цены и инфл'!N29)</f>
        <v>2.4634981049266709</v>
      </c>
      <c r="Q149" s="219">
        <f>P149*(1+'цены и инфл'!O29)</f>
        <v>2.5127680670252044</v>
      </c>
      <c r="R149" s="219">
        <f>Q149*(1+'цены и инфл'!P29)</f>
        <v>2.5630234283657085</v>
      </c>
    </row>
    <row r="150" spans="2:18" x14ac:dyDescent="0.25">
      <c r="B150" s="658"/>
      <c r="C150" s="209" t="s">
        <v>271</v>
      </c>
      <c r="D150" s="165">
        <f>SUM(F150:R150)</f>
        <v>39220.108820660753</v>
      </c>
      <c r="E150" s="167"/>
      <c r="F150" s="211">
        <f>F149*F36</f>
        <v>2487.5</v>
      </c>
      <c r="G150" s="211">
        <f t="shared" ref="G150:R150" si="68">G149*G36</f>
        <v>2607.6960000000004</v>
      </c>
      <c r="H150" s="211">
        <f t="shared" si="68"/>
        <v>2895.3449280000004</v>
      </c>
      <c r="I150" s="211">
        <f t="shared" si="68"/>
        <v>3216.9350253599996</v>
      </c>
      <c r="J150" s="211">
        <f t="shared" si="68"/>
        <v>3281.2737258671996</v>
      </c>
      <c r="K150" s="211">
        <f t="shared" si="68"/>
        <v>3346.8992003845437</v>
      </c>
      <c r="L150" s="211">
        <f t="shared" si="68"/>
        <v>3413.837184392235</v>
      </c>
      <c r="M150" s="211">
        <f t="shared" si="68"/>
        <v>3482.1139280800803</v>
      </c>
      <c r="N150" s="211">
        <f t="shared" si="68"/>
        <v>3551.7562066416822</v>
      </c>
      <c r="O150" s="211">
        <f t="shared" si="68"/>
        <v>3622.7913307745157</v>
      </c>
      <c r="P150" s="211">
        <f t="shared" si="68"/>
        <v>3695.2471573900061</v>
      </c>
      <c r="Q150" s="211">
        <f t="shared" si="68"/>
        <v>2010.2144536201636</v>
      </c>
      <c r="R150" s="211">
        <f t="shared" si="68"/>
        <v>1608.4996801503228</v>
      </c>
    </row>
    <row r="151" spans="2:18" x14ac:dyDescent="0.25">
      <c r="B151" s="670" t="s">
        <v>282</v>
      </c>
      <c r="C151" s="563" t="s">
        <v>271</v>
      </c>
      <c r="D151" s="165">
        <f>SUM(F151:R151)</f>
        <v>233933.45417615931</v>
      </c>
      <c r="E151" s="177"/>
      <c r="F151" s="227">
        <f>F154+F156+F158+F160+F162</f>
        <v>14837.01817157255</v>
      </c>
      <c r="G151" s="227">
        <f>G154+G156+G158+G160+G162</f>
        <v>15553.942889622938</v>
      </c>
      <c r="H151" s="227">
        <f t="shared" ref="H151:R151" si="69">H154+H156+H158+H160+H162</f>
        <v>17269.662436062878</v>
      </c>
      <c r="I151" s="227">
        <f t="shared" si="69"/>
        <v>19187.828513782715</v>
      </c>
      <c r="J151" s="227">
        <f t="shared" si="69"/>
        <v>19571.58508405837</v>
      </c>
      <c r="K151" s="227">
        <f t="shared" si="69"/>
        <v>19963.016785739539</v>
      </c>
      <c r="L151" s="227">
        <f t="shared" si="69"/>
        <v>20362.277121454332</v>
      </c>
      <c r="M151" s="227">
        <f t="shared" si="69"/>
        <v>20769.522663883417</v>
      </c>
      <c r="N151" s="227">
        <f t="shared" si="69"/>
        <v>21184.913117161082</v>
      </c>
      <c r="O151" s="227">
        <f t="shared" si="69"/>
        <v>21608.611379504309</v>
      </c>
      <c r="P151" s="227">
        <f t="shared" si="69"/>
        <v>22040.783607094392</v>
      </c>
      <c r="Q151" s="227">
        <f t="shared" si="69"/>
        <v>11990.18628225935</v>
      </c>
      <c r="R151" s="227">
        <f t="shared" si="69"/>
        <v>9594.1061239634018</v>
      </c>
    </row>
    <row r="152" spans="2:18" ht="15.75" customHeight="1" x14ac:dyDescent="0.25">
      <c r="B152" s="671"/>
      <c r="C152" s="564" t="s">
        <v>3</v>
      </c>
      <c r="D152" s="228">
        <f>D151/D36</f>
        <v>13.461797766890273</v>
      </c>
      <c r="E152" s="228"/>
      <c r="F152" s="228">
        <f t="shared" ref="F152:R152" si="70">F151/F36</f>
        <v>11.869614537258041</v>
      </c>
      <c r="G152" s="228">
        <f t="shared" si="70"/>
        <v>11.964571453556106</v>
      </c>
      <c r="H152" s="228">
        <f t="shared" si="70"/>
        <v>12.335473168616341</v>
      </c>
      <c r="I152" s="228">
        <f t="shared" si="70"/>
        <v>12.791885675855143</v>
      </c>
      <c r="J152" s="228">
        <f t="shared" si="70"/>
        <v>13.047723389372246</v>
      </c>
      <c r="K152" s="228">
        <f t="shared" si="70"/>
        <v>13.308677857159692</v>
      </c>
      <c r="L152" s="228">
        <f t="shared" si="70"/>
        <v>13.574851414302888</v>
      </c>
      <c r="M152" s="228">
        <f t="shared" si="70"/>
        <v>13.846348442588946</v>
      </c>
      <c r="N152" s="228">
        <f t="shared" si="70"/>
        <v>14.123275411440721</v>
      </c>
      <c r="O152" s="228">
        <f t="shared" si="70"/>
        <v>14.40574091966954</v>
      </c>
      <c r="P152" s="228">
        <f t="shared" si="70"/>
        <v>14.693855738062927</v>
      </c>
      <c r="Q152" s="228">
        <f t="shared" si="70"/>
        <v>14.987732852824188</v>
      </c>
      <c r="R152" s="228">
        <f t="shared" si="70"/>
        <v>15.287487509880673</v>
      </c>
    </row>
    <row r="153" spans="2:18" ht="15.75" customHeight="1" x14ac:dyDescent="0.25">
      <c r="B153" s="656" t="s">
        <v>283</v>
      </c>
      <c r="C153" s="193" t="s">
        <v>284</v>
      </c>
      <c r="D153" s="172">
        <f>AVERAGE(F153:R153)</f>
        <v>17.223406528339321</v>
      </c>
      <c r="E153" s="172"/>
      <c r="F153" s="219">
        <f>'И. Д.'!G74</f>
        <v>15.08</v>
      </c>
      <c r="G153" s="219">
        <f>F153*(1+'цены и инфл'!E29)</f>
        <v>15.20064</v>
      </c>
      <c r="H153" s="219">
        <f>G153*(1+'цены и инфл'!F29)</f>
        <v>15.671859839999998</v>
      </c>
      <c r="I153" s="219">
        <f>H153*(1+'цены и инфл'!G29)</f>
        <v>16.251718654079998</v>
      </c>
      <c r="J153" s="219">
        <f>I153*(1+'цены и инфл'!H29)</f>
        <v>16.576753027161597</v>
      </c>
      <c r="K153" s="219">
        <f>J153*(1+'цены и инфл'!I29)</f>
        <v>16.908288087704829</v>
      </c>
      <c r="L153" s="219">
        <f>K153*(1+'цены и инфл'!J29)</f>
        <v>17.246453849458927</v>
      </c>
      <c r="M153" s="219">
        <f>L153*(1+'цены и инфл'!K29)</f>
        <v>17.591382926448105</v>
      </c>
      <c r="N153" s="219">
        <f>M153*(1+'цены и инфл'!L29)</f>
        <v>17.943210584977066</v>
      </c>
      <c r="O153" s="219">
        <f>N153*(1+'цены и инфл'!M29)</f>
        <v>18.302074796676607</v>
      </c>
      <c r="P153" s="219">
        <f>O153*(1+'цены и инфл'!N29)</f>
        <v>18.66811629261014</v>
      </c>
      <c r="Q153" s="219">
        <f>P153*(1+'цены и инфл'!O29)</f>
        <v>19.041478618462342</v>
      </c>
      <c r="R153" s="219">
        <f>Q153*(1+'цены и инфл'!P29)</f>
        <v>19.42230819083159</v>
      </c>
    </row>
    <row r="154" spans="2:18" ht="15.75" customHeight="1" x14ac:dyDescent="0.25">
      <c r="B154" s="658"/>
      <c r="C154" s="209" t="s">
        <v>271</v>
      </c>
      <c r="D154" s="165">
        <f>SUM(F154:R154)</f>
        <v>21250.203885735089</v>
      </c>
      <c r="E154" s="167"/>
      <c r="F154" s="211">
        <f t="shared" ref="F154:R154" si="71">F153*F43/1000</f>
        <v>1347.7750000000003</v>
      </c>
      <c r="G154" s="211">
        <f t="shared" si="71"/>
        <v>1412.899488</v>
      </c>
      <c r="H154" s="211">
        <f t="shared" si="71"/>
        <v>1568.7531699840001</v>
      </c>
      <c r="I154" s="211">
        <f t="shared" si="71"/>
        <v>1742.9968256500799</v>
      </c>
      <c r="J154" s="211">
        <f t="shared" si="71"/>
        <v>1777.8567621630816</v>
      </c>
      <c r="K154" s="211">
        <f t="shared" si="71"/>
        <v>1813.413897406343</v>
      </c>
      <c r="L154" s="211">
        <f t="shared" si="71"/>
        <v>1849.6821753544702</v>
      </c>
      <c r="M154" s="211">
        <f t="shared" si="71"/>
        <v>1886.6758188615595</v>
      </c>
      <c r="N154" s="211">
        <f t="shared" si="71"/>
        <v>1924.4093352387906</v>
      </c>
      <c r="O154" s="211">
        <f t="shared" si="71"/>
        <v>1962.8975219435663</v>
      </c>
      <c r="P154" s="211">
        <f t="shared" si="71"/>
        <v>2002.1554723824379</v>
      </c>
      <c r="Q154" s="211">
        <f t="shared" si="71"/>
        <v>1089.1725769760462</v>
      </c>
      <c r="R154" s="211">
        <f t="shared" si="71"/>
        <v>871.51584177471386</v>
      </c>
    </row>
    <row r="155" spans="2:18" x14ac:dyDescent="0.25">
      <c r="B155" s="656" t="s">
        <v>285</v>
      </c>
      <c r="C155" s="193" t="s">
        <v>284</v>
      </c>
      <c r="D155" s="172">
        <f>AVERAGE(F155:R155)</f>
        <v>109.81634865383464</v>
      </c>
      <c r="E155" s="172"/>
      <c r="F155" s="219">
        <f>'И. Д.'!G75</f>
        <v>96.15</v>
      </c>
      <c r="G155" s="219">
        <f>F155*(1+'цены и инфл'!E29)</f>
        <v>96.919200000000004</v>
      </c>
      <c r="H155" s="219">
        <f>G155*(1+'цены и инфл'!F29)</f>
        <v>99.923695199999997</v>
      </c>
      <c r="I155" s="219">
        <f>H155*(1+'цены и инфл'!G29)</f>
        <v>103.62087192239999</v>
      </c>
      <c r="J155" s="219">
        <f>I155*(1+'цены и инфл'!H29)</f>
        <v>105.69328936084798</v>
      </c>
      <c r="K155" s="219">
        <f>J155*(1+'цены и инфл'!I29)</f>
        <v>107.80715514806495</v>
      </c>
      <c r="L155" s="219">
        <f>K155*(1+'цены и инфл'!J29)</f>
        <v>109.96329825102625</v>
      </c>
      <c r="M155" s="219">
        <f>L155*(1+'цены и инфл'!K29)</f>
        <v>112.16256421604677</v>
      </c>
      <c r="N155" s="219">
        <f>M155*(1+'цены и инфл'!L29)</f>
        <v>114.40581550036771</v>
      </c>
      <c r="O155" s="219">
        <f>N155*(1+'цены и инфл'!M29)</f>
        <v>116.69393181037506</v>
      </c>
      <c r="P155" s="219">
        <f>O155*(1+'цены и инфл'!N29)</f>
        <v>119.02781044658256</v>
      </c>
      <c r="Q155" s="219">
        <f>P155*(1+'цены и инфл'!O29)</f>
        <v>121.40836665551421</v>
      </c>
      <c r="R155" s="219">
        <f>Q155*(1+'цены и инфл'!P29)</f>
        <v>123.8365339886245</v>
      </c>
    </row>
    <row r="156" spans="2:18" x14ac:dyDescent="0.25">
      <c r="B156" s="658"/>
      <c r="C156" s="209" t="s">
        <v>271</v>
      </c>
      <c r="D156" s="165">
        <f>SUM(F156:R156)</f>
        <v>135491.18724226981</v>
      </c>
      <c r="E156" s="167"/>
      <c r="F156" s="211">
        <f t="shared" ref="F156:R156" si="72">F155*F43/1000</f>
        <v>8593.4062500000018</v>
      </c>
      <c r="G156" s="211">
        <f t="shared" si="72"/>
        <v>9008.6396400000031</v>
      </c>
      <c r="H156" s="211">
        <f t="shared" si="72"/>
        <v>10002.361889520002</v>
      </c>
      <c r="I156" s="211">
        <f t="shared" si="72"/>
        <v>11113.3385136774</v>
      </c>
      <c r="J156" s="211">
        <f t="shared" si="72"/>
        <v>11335.605283950947</v>
      </c>
      <c r="K156" s="211">
        <f t="shared" si="72"/>
        <v>11562.317389629967</v>
      </c>
      <c r="L156" s="211">
        <f t="shared" si="72"/>
        <v>11793.563737422566</v>
      </c>
      <c r="M156" s="211">
        <f t="shared" si="72"/>
        <v>12029.435012171019</v>
      </c>
      <c r="N156" s="211">
        <f t="shared" si="72"/>
        <v>12270.023712414439</v>
      </c>
      <c r="O156" s="211">
        <f t="shared" si="72"/>
        <v>12515.424186662727</v>
      </c>
      <c r="P156" s="211">
        <f t="shared" si="72"/>
        <v>12765.732670395981</v>
      </c>
      <c r="Q156" s="211">
        <f t="shared" si="72"/>
        <v>6944.5585726954132</v>
      </c>
      <c r="R156" s="211">
        <f t="shared" si="72"/>
        <v>5556.7803837293595</v>
      </c>
    </row>
    <row r="157" spans="2:18" x14ac:dyDescent="0.25">
      <c r="B157" s="656" t="s">
        <v>286</v>
      </c>
      <c r="C157" s="193" t="s">
        <v>287</v>
      </c>
      <c r="D157" s="172">
        <f>AVERAGE(F157:R157)</f>
        <v>0.23984849939995082</v>
      </c>
      <c r="E157" s="172"/>
      <c r="F157" s="219">
        <f>'И. Д.'!G76</f>
        <v>0.21</v>
      </c>
      <c r="G157" s="219">
        <f>F157*(1+'цены и инфл'!E29)</f>
        <v>0.21168000000000001</v>
      </c>
      <c r="H157" s="219">
        <f>G157*(1+'цены и инфл'!F29)</f>
        <v>0.21824207999999998</v>
      </c>
      <c r="I157" s="219">
        <f>H157*(1+'цены и инфл'!G29)</f>
        <v>0.22631703695999997</v>
      </c>
      <c r="J157" s="219">
        <f>I157*(1+'цены и инфл'!H29)</f>
        <v>0.23084337769919996</v>
      </c>
      <c r="K157" s="219">
        <f>J157*(1+'цены и инфл'!I29)</f>
        <v>0.23546024525318396</v>
      </c>
      <c r="L157" s="219">
        <f>K157*(1+'цены и инфл'!J29)</f>
        <v>0.24016945015824764</v>
      </c>
      <c r="M157" s="219">
        <f>L157*(1+'цены и инфл'!K29)</f>
        <v>0.2449728391614126</v>
      </c>
      <c r="N157" s="219">
        <f>M157*(1+'цены и инфл'!L29)</f>
        <v>0.24987229594464086</v>
      </c>
      <c r="O157" s="219">
        <f>N157*(1+'цены и инфл'!M29)</f>
        <v>0.25486974186353367</v>
      </c>
      <c r="P157" s="219">
        <f>O157*(1+'цены и инфл'!N29)</f>
        <v>0.25996713670080435</v>
      </c>
      <c r="Q157" s="219">
        <f>P157*(1+'цены и инфл'!O29)</f>
        <v>0.26516647943482041</v>
      </c>
      <c r="R157" s="219">
        <f>Q157*(1+'цены и инфл'!P29)</f>
        <v>0.27046980902351681</v>
      </c>
    </row>
    <row r="158" spans="2:18" x14ac:dyDescent="0.25">
      <c r="B158" s="658"/>
      <c r="C158" s="209" t="s">
        <v>271</v>
      </c>
      <c r="D158" s="165">
        <f>SUM(F158:R158)</f>
        <v>63780.82338236877</v>
      </c>
      <c r="E158" s="167"/>
      <c r="F158" s="211">
        <f t="shared" ref="F158:R158" si="73">F157*F87</f>
        <v>4045.241151397945</v>
      </c>
      <c r="G158" s="211">
        <f t="shared" si="73"/>
        <v>4240.7072038334945</v>
      </c>
      <c r="H158" s="211">
        <f t="shared" si="73"/>
        <v>4708.4898292409716</v>
      </c>
      <c r="I158" s="211">
        <f t="shared" si="73"/>
        <v>5231.4685209888085</v>
      </c>
      <c r="J158" s="211">
        <f t="shared" si="73"/>
        <v>5336.0978914085845</v>
      </c>
      <c r="K158" s="211">
        <f t="shared" si="73"/>
        <v>5442.8198492367565</v>
      </c>
      <c r="L158" s="211">
        <f t="shared" si="73"/>
        <v>5551.6762462214911</v>
      </c>
      <c r="M158" s="211">
        <f t="shared" si="73"/>
        <v>5662.7097711459219</v>
      </c>
      <c r="N158" s="211">
        <f t="shared" si="73"/>
        <v>5775.9639665688401</v>
      </c>
      <c r="O158" s="211">
        <f t="shared" si="73"/>
        <v>5891.4832459002164</v>
      </c>
      <c r="P158" s="211">
        <f t="shared" si="73"/>
        <v>6009.3129108182211</v>
      </c>
      <c r="Q158" s="211">
        <f t="shared" si="73"/>
        <v>3269.0662234851125</v>
      </c>
      <c r="R158" s="211">
        <f t="shared" si="73"/>
        <v>2615.7865721224184</v>
      </c>
    </row>
    <row r="159" spans="2:18" x14ac:dyDescent="0.25">
      <c r="B159" s="656" t="s">
        <v>288</v>
      </c>
      <c r="C159" s="193" t="s">
        <v>53</v>
      </c>
      <c r="D159" s="172">
        <f>AVERAGE(F159:R159)</f>
        <v>0.21700578517138408</v>
      </c>
      <c r="E159" s="172"/>
      <c r="F159" s="219">
        <f>'И. Д.'!G77</f>
        <v>0.19</v>
      </c>
      <c r="G159" s="219">
        <f>F159*(1+'цены и инфл'!E29)</f>
        <v>0.19152</v>
      </c>
      <c r="H159" s="219">
        <f>G159*(1+'цены и инфл'!F29)</f>
        <v>0.19745711999999999</v>
      </c>
      <c r="I159" s="219">
        <f>H159*(1+'цены и инфл'!G29)</f>
        <v>0.20476303343999996</v>
      </c>
      <c r="J159" s="219">
        <f>I159*(1+'цены и инфл'!H29)</f>
        <v>0.20885829410879997</v>
      </c>
      <c r="K159" s="219">
        <f>J159*(1+'цены и инфл'!I29)</f>
        <v>0.21303545999097598</v>
      </c>
      <c r="L159" s="219">
        <f>K159*(1+'цены и инфл'!J29)</f>
        <v>0.2172961691907955</v>
      </c>
      <c r="M159" s="219">
        <f>L159*(1+'цены и инфл'!K29)</f>
        <v>0.22164209257461143</v>
      </c>
      <c r="N159" s="219">
        <f>M159*(1+'цены и инфл'!L29)</f>
        <v>0.22607493442610366</v>
      </c>
      <c r="O159" s="219">
        <f>N159*(1+'цены и инфл'!M29)</f>
        <v>0.23059643311462574</v>
      </c>
      <c r="P159" s="219">
        <f>O159*(1+'цены и инфл'!N29)</f>
        <v>0.23520836177691826</v>
      </c>
      <c r="Q159" s="219">
        <f>P159*(1+'цены и инфл'!O29)</f>
        <v>0.23991252901245663</v>
      </c>
      <c r="R159" s="219">
        <f>Q159*(1+'цены и инфл'!P29)</f>
        <v>0.24471077959270576</v>
      </c>
    </row>
    <row r="160" spans="2:18" x14ac:dyDescent="0.25">
      <c r="B160" s="658"/>
      <c r="C160" s="209" t="s">
        <v>271</v>
      </c>
      <c r="D160" s="165">
        <f>SUM(F160:R160)</f>
        <v>1318.0998731057759</v>
      </c>
      <c r="E160" s="167"/>
      <c r="F160" s="211">
        <f t="shared" ref="F160:R160" si="74">F159*F90</f>
        <v>83.599294671599537</v>
      </c>
      <c r="G160" s="211">
        <f t="shared" si="74"/>
        <v>87.638812590131209</v>
      </c>
      <c r="H160" s="211">
        <f t="shared" si="74"/>
        <v>97.30604776353492</v>
      </c>
      <c r="I160" s="211">
        <f t="shared" si="74"/>
        <v>108.11396949727039</v>
      </c>
      <c r="J160" s="211">
        <f t="shared" si="74"/>
        <v>110.2762488872158</v>
      </c>
      <c r="K160" s="211">
        <f t="shared" si="74"/>
        <v>112.48177386496012</v>
      </c>
      <c r="L160" s="211">
        <f t="shared" si="74"/>
        <v>114.73140934225933</v>
      </c>
      <c r="M160" s="211">
        <f t="shared" si="74"/>
        <v>117.02603752910453</v>
      </c>
      <c r="N160" s="211">
        <f t="shared" si="74"/>
        <v>119.36655827968661</v>
      </c>
      <c r="O160" s="211">
        <f t="shared" si="74"/>
        <v>121.75388944528035</v>
      </c>
      <c r="P160" s="211">
        <f t="shared" si="74"/>
        <v>124.18896723418597</v>
      </c>
      <c r="Q160" s="211">
        <f t="shared" si="74"/>
        <v>67.558798175397172</v>
      </c>
      <c r="R160" s="211">
        <f t="shared" si="74"/>
        <v>54.05806582514991</v>
      </c>
    </row>
    <row r="161" spans="2:18" x14ac:dyDescent="0.25">
      <c r="B161" s="655" t="s">
        <v>289</v>
      </c>
      <c r="C161" s="193" t="s">
        <v>53</v>
      </c>
      <c r="D161" s="172">
        <f>AVERAGE(F161:R161)</f>
        <v>1.4847764248568382E-2</v>
      </c>
      <c r="E161" s="231"/>
      <c r="F161" s="232">
        <f>'И. Д.'!G78</f>
        <v>1.2999999999999999E-2</v>
      </c>
      <c r="G161" s="232">
        <f>F161*(1+'цены и инфл'!E29)</f>
        <v>1.3103999999999999E-2</v>
      </c>
      <c r="H161" s="232">
        <f>G161*(1+'цены и инфл'!F29)</f>
        <v>1.3510223999999998E-2</v>
      </c>
      <c r="I161" s="232">
        <f>H161*(1+'цены и инфл'!G29)</f>
        <v>1.4010102287999997E-2</v>
      </c>
      <c r="J161" s="232">
        <f>I161*(1+'цены и инфл'!H29)</f>
        <v>1.4290304333759997E-2</v>
      </c>
      <c r="K161" s="232">
        <f>J161*(1+'цены и инфл'!I29)</f>
        <v>1.4576110420435197E-2</v>
      </c>
      <c r="L161" s="232">
        <f>K161*(1+'цены и инфл'!J29)</f>
        <v>1.4867632628843901E-2</v>
      </c>
      <c r="M161" s="232">
        <f>L161*(1+'цены и инфл'!K29)</f>
        <v>1.516498528142078E-2</v>
      </c>
      <c r="N161" s="232">
        <f>M161*(1+'цены и инфл'!L29)</f>
        <v>1.5468284987049195E-2</v>
      </c>
      <c r="O161" s="232">
        <f>N161*(1+'цены и инфл'!M29)</f>
        <v>1.5777650686790178E-2</v>
      </c>
      <c r="P161" s="232">
        <f>O161*(1+'цены и инфл'!N29)</f>
        <v>1.6093203700525981E-2</v>
      </c>
      <c r="Q161" s="232">
        <f>P161*(1+'цены и инфл'!O29)</f>
        <v>1.6415067774536503E-2</v>
      </c>
      <c r="R161" s="232">
        <f>Q161*(1+'цены и инфл'!P29)</f>
        <v>1.6743369130027233E-2</v>
      </c>
    </row>
    <row r="162" spans="2:18" x14ac:dyDescent="0.25">
      <c r="B162" s="655"/>
      <c r="C162" s="209" t="s">
        <v>271</v>
      </c>
      <c r="D162" s="165">
        <f>SUM(F162:R162)</f>
        <v>12093.139792679809</v>
      </c>
      <c r="E162" s="167"/>
      <c r="F162" s="211">
        <f t="shared" ref="F162:R162" si="75">F161*F91</f>
        <v>766.9964755030029</v>
      </c>
      <c r="G162" s="211">
        <f t="shared" si="75"/>
        <v>804.0577451993081</v>
      </c>
      <c r="H162" s="211">
        <f t="shared" si="75"/>
        <v>892.75149955437007</v>
      </c>
      <c r="I162" s="211">
        <f t="shared" si="75"/>
        <v>991.91068396915898</v>
      </c>
      <c r="J162" s="211">
        <f t="shared" si="75"/>
        <v>1011.7488976485422</v>
      </c>
      <c r="K162" s="211">
        <f t="shared" si="75"/>
        <v>1031.9838756015131</v>
      </c>
      <c r="L162" s="211">
        <f t="shared" si="75"/>
        <v>1052.6235531135433</v>
      </c>
      <c r="M162" s="211">
        <f t="shared" si="75"/>
        <v>1073.6760241758143</v>
      </c>
      <c r="N162" s="211">
        <f t="shared" si="75"/>
        <v>1095.1495446593306</v>
      </c>
      <c r="O162" s="211">
        <f t="shared" si="75"/>
        <v>1117.0525355525169</v>
      </c>
      <c r="P162" s="211">
        <f t="shared" si="75"/>
        <v>1139.3935862635674</v>
      </c>
      <c r="Q162" s="211">
        <f t="shared" si="75"/>
        <v>619.83011092738059</v>
      </c>
      <c r="R162" s="211">
        <f t="shared" si="75"/>
        <v>495.96526051176068</v>
      </c>
    </row>
    <row r="163" spans="2:18" ht="18" customHeight="1" x14ac:dyDescent="0.25">
      <c r="B163" s="659" t="s">
        <v>290</v>
      </c>
      <c r="C163" s="563" t="s">
        <v>271</v>
      </c>
      <c r="D163" s="165">
        <f>SUM(F163:R163)</f>
        <v>57520.997882946089</v>
      </c>
      <c r="E163" s="177"/>
      <c r="F163" s="227">
        <f>F166+F168+F170+F172+F174</f>
        <v>3648.2173695156489</v>
      </c>
      <c r="G163" s="227">
        <f t="shared" ref="G163:R163" si="76">G166+G168+G170+G172+G174</f>
        <v>3824.4992328106446</v>
      </c>
      <c r="H163" s="227">
        <f t="shared" si="76"/>
        <v>4246.3709174145251</v>
      </c>
      <c r="I163" s="227">
        <f t="shared" si="76"/>
        <v>4718.0214014559251</v>
      </c>
      <c r="J163" s="227">
        <f t="shared" si="76"/>
        <v>4812.3818294850435</v>
      </c>
      <c r="K163" s="227">
        <f t="shared" si="76"/>
        <v>4908.6294660747444</v>
      </c>
      <c r="L163" s="227">
        <f t="shared" si="76"/>
        <v>5006.8020553962397</v>
      </c>
      <c r="M163" s="227">
        <f t="shared" si="76"/>
        <v>5106.9380965041646</v>
      </c>
      <c r="N163" s="227">
        <f t="shared" si="76"/>
        <v>5209.0768584342477</v>
      </c>
      <c r="O163" s="227">
        <f t="shared" si="76"/>
        <v>5313.258395602933</v>
      </c>
      <c r="P163" s="227">
        <f t="shared" si="76"/>
        <v>5419.5235635149902</v>
      </c>
      <c r="Q163" s="227">
        <f t="shared" si="76"/>
        <v>2948.2208185521558</v>
      </c>
      <c r="R163" s="227">
        <f t="shared" si="76"/>
        <v>2359.0578781848326</v>
      </c>
    </row>
    <row r="164" spans="2:18" ht="17.25" customHeight="1" x14ac:dyDescent="0.25">
      <c r="B164" s="659"/>
      <c r="C164" s="564" t="s">
        <v>3</v>
      </c>
      <c r="D164" s="228">
        <f>D163/D36</f>
        <v>3.3100697101101417</v>
      </c>
      <c r="E164" s="228"/>
      <c r="F164" s="228">
        <f t="shared" ref="F164:R164" si="77">F163/F36</f>
        <v>2.9185738956125191</v>
      </c>
      <c r="G164" s="228">
        <f t="shared" si="77"/>
        <v>2.9419224867774187</v>
      </c>
      <c r="H164" s="228">
        <f t="shared" si="77"/>
        <v>3.0331220838675179</v>
      </c>
      <c r="I164" s="228">
        <f t="shared" si="77"/>
        <v>3.1453476009706169</v>
      </c>
      <c r="J164" s="228">
        <f t="shared" si="77"/>
        <v>3.208254552990029</v>
      </c>
      <c r="K164" s="228">
        <f t="shared" si="77"/>
        <v>3.2724196440498297</v>
      </c>
      <c r="L164" s="228">
        <f t="shared" si="77"/>
        <v>3.3378680369308262</v>
      </c>
      <c r="M164" s="228">
        <f t="shared" si="77"/>
        <v>3.4046253976694429</v>
      </c>
      <c r="N164" s="228">
        <f t="shared" si="77"/>
        <v>3.4727179056228317</v>
      </c>
      <c r="O164" s="228">
        <f t="shared" si="77"/>
        <v>3.5421722637352886</v>
      </c>
      <c r="P164" s="228">
        <f t="shared" si="77"/>
        <v>3.6130157090099932</v>
      </c>
      <c r="Q164" s="228">
        <f t="shared" si="77"/>
        <v>3.6852760231901946</v>
      </c>
      <c r="R164" s="228">
        <f t="shared" si="77"/>
        <v>3.7589815436539986</v>
      </c>
    </row>
    <row r="165" spans="2:18" x14ac:dyDescent="0.25">
      <c r="B165" s="655" t="s">
        <v>291</v>
      </c>
      <c r="C165" s="193" t="s">
        <v>275</v>
      </c>
      <c r="D165" s="172">
        <f>AVERAGE(F165:R165)</f>
        <v>66.279704626051185</v>
      </c>
      <c r="E165" s="172"/>
      <c r="F165" s="219">
        <f>'И. Д.'!G79</f>
        <v>58.031373997721161</v>
      </c>
      <c r="G165" s="219">
        <f>F165*(1+'цены и инфл'!E29)</f>
        <v>58.495624989702932</v>
      </c>
      <c r="H165" s="219">
        <f>G165*(1+'цены и инфл'!F29)</f>
        <v>60.30898936438372</v>
      </c>
      <c r="I165" s="219">
        <f>H165*(1+'цены и инфл'!G29)</f>
        <v>62.540421970865914</v>
      </c>
      <c r="J165" s="219">
        <f>I165*(1+'цены и инфл'!H29)</f>
        <v>63.791230410283234</v>
      </c>
      <c r="K165" s="219">
        <f>J165*(1+'цены и инфл'!I29)</f>
        <v>65.067055018488901</v>
      </c>
      <c r="L165" s="219">
        <f>K165*(1+'цены и инфл'!J29)</f>
        <v>66.368396118858684</v>
      </c>
      <c r="M165" s="219">
        <f>L165*(1+'цены и инфл'!K29)</f>
        <v>67.695764041235861</v>
      </c>
      <c r="N165" s="219">
        <f>M165*(1+'цены и инфл'!L29)</f>
        <v>69.049679322060584</v>
      </c>
      <c r="O165" s="219">
        <f>N165*(1+'цены и инфл'!M29)</f>
        <v>70.430672908501791</v>
      </c>
      <c r="P165" s="219">
        <f>O165*(1+'цены и инфл'!N29)</f>
        <v>71.839286366671828</v>
      </c>
      <c r="Q165" s="219">
        <f>P165*(1+'цены и инфл'!O29)</f>
        <v>73.276072094005272</v>
      </c>
      <c r="R165" s="219">
        <f>Q165*(1+'цены и инфл'!P29)</f>
        <v>74.741593535885386</v>
      </c>
    </row>
    <row r="166" spans="2:18" x14ac:dyDescent="0.25">
      <c r="B166" s="655"/>
      <c r="C166" s="209" t="s">
        <v>271</v>
      </c>
      <c r="D166" s="165">
        <f>SUM(F166:R166)</f>
        <v>17625.184836118297</v>
      </c>
      <c r="E166" s="167"/>
      <c r="F166" s="211">
        <f>F165*F87/1000</f>
        <v>1117.8614388940302</v>
      </c>
      <c r="G166" s="211">
        <f t="shared" ref="G166:R166" si="78">G165*G87/1000</f>
        <v>1171.8765036213899</v>
      </c>
      <c r="H166" s="211">
        <f t="shared" si="78"/>
        <v>1301.1434964054718</v>
      </c>
      <c r="I166" s="211">
        <f t="shared" si="78"/>
        <v>1445.663363327651</v>
      </c>
      <c r="J166" s="211">
        <f t="shared" si="78"/>
        <v>1474.5766305942043</v>
      </c>
      <c r="K166" s="211">
        <f t="shared" si="78"/>
        <v>1504.0681632060885</v>
      </c>
      <c r="L166" s="211">
        <f t="shared" si="78"/>
        <v>1534.1495264702103</v>
      </c>
      <c r="M166" s="211">
        <f t="shared" si="78"/>
        <v>1564.8325169996144</v>
      </c>
      <c r="N166" s="211">
        <f t="shared" si="78"/>
        <v>1596.129167339607</v>
      </c>
      <c r="O166" s="211">
        <f t="shared" si="78"/>
        <v>1628.0517506863989</v>
      </c>
      <c r="P166" s="211">
        <f t="shared" si="78"/>
        <v>1660.612785700127</v>
      </c>
      <c r="Q166" s="211">
        <f t="shared" si="78"/>
        <v>903.37335542086919</v>
      </c>
      <c r="R166" s="211">
        <f t="shared" si="78"/>
        <v>722.84613745263414</v>
      </c>
    </row>
    <row r="167" spans="2:18" x14ac:dyDescent="0.25">
      <c r="B167" s="655" t="s">
        <v>397</v>
      </c>
      <c r="C167" s="193" t="s">
        <v>275</v>
      </c>
      <c r="D167" s="172">
        <f>AVERAGE(F167:R167)</f>
        <v>106.28259664477345</v>
      </c>
      <c r="E167" s="172"/>
      <c r="F167" s="219">
        <f>'И. Д.'!G81</f>
        <v>93.056013905613796</v>
      </c>
      <c r="G167" s="211">
        <f>F167*(1+'цены и инфл'!E29)</f>
        <v>93.800462016858702</v>
      </c>
      <c r="H167" s="211">
        <f>G167*(1+'цены и инфл'!F29)</f>
        <v>96.708276339381314</v>
      </c>
      <c r="I167" s="211">
        <f>H167*(1+'цены и инфл'!G29)</f>
        <v>100.28648256393842</v>
      </c>
      <c r="J167" s="211">
        <f>I167*(1+'цены и инфл'!H29)</f>
        <v>102.29221221521719</v>
      </c>
      <c r="K167" s="211">
        <f>J167*(1+'цены и инфл'!I29)</f>
        <v>104.33805645952154</v>
      </c>
      <c r="L167" s="211">
        <f>K167*(1+'цены и инфл'!J29)</f>
        <v>106.42481758871197</v>
      </c>
      <c r="M167" s="211">
        <f>L167*(1+'цены и инфл'!K29)</f>
        <v>108.55331394048622</v>
      </c>
      <c r="N167" s="211">
        <f>M167*(1+'цены и инфл'!L29)</f>
        <v>110.72438021929595</v>
      </c>
      <c r="O167" s="211">
        <f>N167*(1+'цены и инфл'!M29)</f>
        <v>112.93886782368187</v>
      </c>
      <c r="P167" s="211">
        <f>O167*(1+'цены и инфл'!N29)</f>
        <v>115.19764518015552</v>
      </c>
      <c r="Q167" s="211">
        <f>P167*(1+'цены и инфл'!O29)</f>
        <v>117.50159808375864</v>
      </c>
      <c r="R167" s="211">
        <f>Q167*(1+'цены и инфл'!P29)</f>
        <v>119.85163004543381</v>
      </c>
    </row>
    <row r="168" spans="2:18" x14ac:dyDescent="0.25">
      <c r="B168" s="655"/>
      <c r="C168" s="209" t="s">
        <v>271</v>
      </c>
      <c r="D168" s="165">
        <f>SUM(F168:R168)</f>
        <v>12756.427888981472</v>
      </c>
      <c r="E168" s="167"/>
      <c r="F168" s="211">
        <f>F167*F88/1000</f>
        <v>809.0649242953026</v>
      </c>
      <c r="G168" s="211">
        <f>G167*G88/1000</f>
        <v>848.15894143725143</v>
      </c>
      <c r="H168" s="211">
        <f t="shared" ref="H168:R168" si="79">H167*H88/1000</f>
        <v>941.71739697732994</v>
      </c>
      <c r="I168" s="211">
        <f t="shared" si="79"/>
        <v>1046.3152935701689</v>
      </c>
      <c r="J168" s="211">
        <f t="shared" si="79"/>
        <v>1067.2415994415724</v>
      </c>
      <c r="K168" s="211">
        <f t="shared" si="79"/>
        <v>1088.5864314304038</v>
      </c>
      <c r="L168" s="211">
        <f t="shared" si="79"/>
        <v>1110.3581600590119</v>
      </c>
      <c r="M168" s="211">
        <f t="shared" si="79"/>
        <v>1132.5653232601924</v>
      </c>
      <c r="N168" s="211">
        <f t="shared" si="79"/>
        <v>1155.2166297253962</v>
      </c>
      <c r="O168" s="211">
        <f t="shared" si="79"/>
        <v>1178.3209623199041</v>
      </c>
      <c r="P168" s="211">
        <f t="shared" si="79"/>
        <v>1201.8873815663021</v>
      </c>
      <c r="Q168" s="211">
        <f t="shared" si="79"/>
        <v>653.82673557206851</v>
      </c>
      <c r="R168" s="211">
        <f t="shared" si="79"/>
        <v>523.16810932656847</v>
      </c>
    </row>
    <row r="169" spans="2:18" x14ac:dyDescent="0.25">
      <c r="B169" s="655" t="s">
        <v>292</v>
      </c>
      <c r="C169" s="193" t="s">
        <v>275</v>
      </c>
      <c r="D169" s="172">
        <f>AVERAGE(F169:R169)</f>
        <v>47.677569952533126</v>
      </c>
      <c r="E169" s="172"/>
      <c r="F169" s="219">
        <f>'И. Д.'!G80</f>
        <v>41.744224854775176</v>
      </c>
      <c r="G169" s="219">
        <f>F169*(1+'цены и инфл'!E29)</f>
        <v>42.078178653613378</v>
      </c>
      <c r="H169" s="219">
        <f>G169*(1+'цены и инфл'!F29)</f>
        <v>43.382602191875392</v>
      </c>
      <c r="I169" s="219">
        <f>H169*(1+'цены и инфл'!G29)</f>
        <v>44.987758472974775</v>
      </c>
      <c r="J169" s="219">
        <f>I169*(1+'цены и инфл'!H29)</f>
        <v>45.887513642434271</v>
      </c>
      <c r="K169" s="219">
        <f>J169*(1+'цены и инфл'!I29)</f>
        <v>46.805263915282957</v>
      </c>
      <c r="L169" s="219">
        <f>K169*(1+'цены и инфл'!J29)</f>
        <v>47.741369193588618</v>
      </c>
      <c r="M169" s="219">
        <f>L169*(1+'цены и инфл'!K29)</f>
        <v>48.696196577460391</v>
      </c>
      <c r="N169" s="219">
        <f>M169*(1+'цены и инфл'!L29)</f>
        <v>49.6701205090096</v>
      </c>
      <c r="O169" s="219">
        <f>N169*(1+'цены и инфл'!M29)</f>
        <v>50.663522919189795</v>
      </c>
      <c r="P169" s="219">
        <f>O169*(1+'цены и инфл'!N29)</f>
        <v>51.676793377573588</v>
      </c>
      <c r="Q169" s="219">
        <f>P169*(1+'цены и инфл'!O29)</f>
        <v>52.71032924512506</v>
      </c>
      <c r="R169" s="219">
        <f>Q169*(1+'цены и инфл'!P29)</f>
        <v>53.764535830027562</v>
      </c>
    </row>
    <row r="170" spans="2:18" x14ac:dyDescent="0.25">
      <c r="B170" s="655"/>
      <c r="C170" s="209" t="s">
        <v>271</v>
      </c>
      <c r="D170" s="165">
        <f>SUM(F170:R170)</f>
        <v>26563.215026985465</v>
      </c>
      <c r="E170" s="167"/>
      <c r="F170" s="211">
        <f>F169*F89/1000</f>
        <v>1684.7479358552471</v>
      </c>
      <c r="G170" s="211">
        <f t="shared" ref="G170:R170" si="80">G169*G89/1000</f>
        <v>1766.1549561157724</v>
      </c>
      <c r="H170" s="211">
        <f t="shared" si="80"/>
        <v>1960.9754335826967</v>
      </c>
      <c r="I170" s="211">
        <f t="shared" si="80"/>
        <v>2178.7837763842031</v>
      </c>
      <c r="J170" s="211">
        <f t="shared" si="80"/>
        <v>2222.3594519118869</v>
      </c>
      <c r="K170" s="211">
        <f t="shared" si="80"/>
        <v>2266.8066409501248</v>
      </c>
      <c r="L170" s="211">
        <f t="shared" si="80"/>
        <v>2312.1427737691279</v>
      </c>
      <c r="M170" s="211">
        <f t="shared" si="80"/>
        <v>2358.3856292445103</v>
      </c>
      <c r="N170" s="211">
        <f t="shared" si="80"/>
        <v>2405.5533418293999</v>
      </c>
      <c r="O170" s="211">
        <f t="shared" si="80"/>
        <v>2453.6644086659885</v>
      </c>
      <c r="P170" s="211">
        <f t="shared" si="80"/>
        <v>2502.7376968393078</v>
      </c>
      <c r="Q170" s="211">
        <f t="shared" si="80"/>
        <v>1361.4893070805836</v>
      </c>
      <c r="R170" s="211">
        <f t="shared" si="80"/>
        <v>1089.4136747566154</v>
      </c>
    </row>
    <row r="171" spans="2:18" x14ac:dyDescent="0.25">
      <c r="B171" s="655" t="s">
        <v>293</v>
      </c>
      <c r="C171" s="193" t="s">
        <v>113</v>
      </c>
      <c r="D171" s="172">
        <f>AVERAGE(F171:R171)</f>
        <v>11.735990740126597</v>
      </c>
      <c r="E171" s="172"/>
      <c r="F171" s="219">
        <f>'И. Д.'!G82</f>
        <v>10.275478318990439</v>
      </c>
      <c r="G171" s="219">
        <f>F171*(1+'цены и инфл'!E29)</f>
        <v>10.357682145542363</v>
      </c>
      <c r="H171" s="219">
        <f>G171*(1+'цены и инфл'!F29)</f>
        <v>10.678770292054175</v>
      </c>
      <c r="I171" s="219">
        <f>H171*(1+'цены и инфл'!G29)</f>
        <v>11.073884792860179</v>
      </c>
      <c r="J171" s="219">
        <f>I171*(1+'цены и инфл'!H29)</f>
        <v>11.295362488717382</v>
      </c>
      <c r="K171" s="219">
        <f>J171*(1+'цены и инфл'!I29)</f>
        <v>11.52126973849173</v>
      </c>
      <c r="L171" s="219">
        <f>K171*(1+'цены и инфл'!J29)</f>
        <v>11.751695133261565</v>
      </c>
      <c r="M171" s="219">
        <f>L171*(1+'цены и инфл'!K29)</f>
        <v>11.986729035926796</v>
      </c>
      <c r="N171" s="219">
        <f>M171*(1+'цены и инфл'!L29)</f>
        <v>12.226463616645333</v>
      </c>
      <c r="O171" s="219">
        <f>N171*(1+'цены и инфл'!M29)</f>
        <v>12.470992888978239</v>
      </c>
      <c r="P171" s="219">
        <f>O171*(1+'цены и инфл'!N29)</f>
        <v>12.720412746757804</v>
      </c>
      <c r="Q171" s="219">
        <f>P171*(1+'цены и инфл'!O29)</f>
        <v>12.974821001692961</v>
      </c>
      <c r="R171" s="219">
        <f>Q171*(1+'цены и инфл'!P29)</f>
        <v>13.23431742172682</v>
      </c>
    </row>
    <row r="172" spans="2:18" x14ac:dyDescent="0.25">
      <c r="B172" s="655"/>
      <c r="C172" s="209" t="s">
        <v>271</v>
      </c>
      <c r="D172" s="165">
        <f>SUM(F172:R172)</f>
        <v>71.284771938749728</v>
      </c>
      <c r="E172" s="183"/>
      <c r="F172" s="211">
        <f t="shared" ref="F172:R172" si="81">F171*F90/1000</f>
        <v>4.5211723151627048</v>
      </c>
      <c r="G172" s="219">
        <f t="shared" si="81"/>
        <v>4.7396353614313664</v>
      </c>
      <c r="H172" s="219">
        <f t="shared" si="81"/>
        <v>5.2624536005307956</v>
      </c>
      <c r="I172" s="219">
        <f t="shared" si="81"/>
        <v>5.8469618397326082</v>
      </c>
      <c r="J172" s="219">
        <f t="shared" si="81"/>
        <v>5.9639010765272609</v>
      </c>
      <c r="K172" s="219">
        <f t="shared" si="81"/>
        <v>6.0831790980578058</v>
      </c>
      <c r="L172" s="219">
        <f t="shared" si="81"/>
        <v>6.2048426800189622</v>
      </c>
      <c r="M172" s="219">
        <f t="shared" si="81"/>
        <v>6.3289395336193408</v>
      </c>
      <c r="N172" s="219">
        <f t="shared" si="81"/>
        <v>6.4555183242917282</v>
      </c>
      <c r="O172" s="219">
        <f t="shared" si="81"/>
        <v>6.5846286907775626</v>
      </c>
      <c r="P172" s="219">
        <f t="shared" si="81"/>
        <v>6.7163212645931143</v>
      </c>
      <c r="Q172" s="219">
        <f t="shared" si="81"/>
        <v>3.6536787679386542</v>
      </c>
      <c r="R172" s="219">
        <f t="shared" si="81"/>
        <v>2.9235393860678198</v>
      </c>
    </row>
    <row r="173" spans="2:18" x14ac:dyDescent="0.25">
      <c r="B173" s="655" t="s">
        <v>294</v>
      </c>
      <c r="C173" s="193" t="s">
        <v>113</v>
      </c>
      <c r="D173" s="172">
        <f>AVERAGE(F173:R173)</f>
        <v>0.61989019480011964</v>
      </c>
      <c r="E173" s="172"/>
      <c r="F173" s="219">
        <f>'И. Д.'!G83</f>
        <v>0.54274653055449484</v>
      </c>
      <c r="G173" s="219">
        <f>F173*(1+'цены и инфл'!E29)</f>
        <v>0.54708850279893084</v>
      </c>
      <c r="H173" s="219">
        <f>G173*(1+'цены и инфл'!F29)</f>
        <v>0.56404824638569762</v>
      </c>
      <c r="I173" s="219">
        <f>H173*(1+'цены и инфл'!G29)</f>
        <v>0.58491803150196842</v>
      </c>
      <c r="J173" s="219">
        <f>I173*(1+'цены и инфл'!H29)</f>
        <v>0.59661639213200779</v>
      </c>
      <c r="K173" s="219">
        <f>J173*(1+'цены и инфл'!I29)</f>
        <v>0.60854871997464799</v>
      </c>
      <c r="L173" s="219">
        <f>K173*(1+'цены и инфл'!J29)</f>
        <v>0.62071969437414098</v>
      </c>
      <c r="M173" s="219">
        <f>L173*(1+'цены и инфл'!K29)</f>
        <v>0.63313408826162376</v>
      </c>
      <c r="N173" s="219">
        <f>M173*(1+'цены и инфл'!L29)</f>
        <v>0.6457967700268562</v>
      </c>
      <c r="O173" s="219">
        <f>N173*(1+'цены и инфл'!M29)</f>
        <v>0.65871270542739335</v>
      </c>
      <c r="P173" s="219">
        <f>O173*(1+'цены и инфл'!N29)</f>
        <v>0.67188695953594124</v>
      </c>
      <c r="Q173" s="219">
        <f>P173*(1+'цены и инфл'!O29)</f>
        <v>0.68532469872666013</v>
      </c>
      <c r="R173" s="219">
        <f>Q173*(1+'цены и инфл'!P29)</f>
        <v>0.69903119270119329</v>
      </c>
    </row>
    <row r="174" spans="2:18" x14ac:dyDescent="0.25">
      <c r="B174" s="655"/>
      <c r="C174" s="209" t="s">
        <v>271</v>
      </c>
      <c r="D174" s="165">
        <f>SUM(F174:R174)</f>
        <v>504.88535892211308</v>
      </c>
      <c r="E174" s="167"/>
      <c r="F174" s="211">
        <f t="shared" ref="F174:R174" si="82">F173*F91/1000</f>
        <v>32.021898155906186</v>
      </c>
      <c r="G174" s="211">
        <f t="shared" si="82"/>
        <v>33.569196274799587</v>
      </c>
      <c r="H174" s="211">
        <f t="shared" si="82"/>
        <v>37.272136848496693</v>
      </c>
      <c r="I174" s="211">
        <f t="shared" si="82"/>
        <v>41.412006334169014</v>
      </c>
      <c r="J174" s="211">
        <f t="shared" si="82"/>
        <v>42.24024646085239</v>
      </c>
      <c r="K174" s="211">
        <f t="shared" si="82"/>
        <v>43.085051390069445</v>
      </c>
      <c r="L174" s="211">
        <f t="shared" si="82"/>
        <v>43.946752417870833</v>
      </c>
      <c r="M174" s="211">
        <f t="shared" si="82"/>
        <v>44.825687466228246</v>
      </c>
      <c r="N174" s="211">
        <f t="shared" si="82"/>
        <v>45.722201215552808</v>
      </c>
      <c r="O174" s="211">
        <f t="shared" si="82"/>
        <v>46.636645239863867</v>
      </c>
      <c r="P174" s="211">
        <f t="shared" si="82"/>
        <v>47.569378144661144</v>
      </c>
      <c r="Q174" s="211">
        <f t="shared" si="82"/>
        <v>25.877741710695659</v>
      </c>
      <c r="R174" s="211">
        <f t="shared" si="82"/>
        <v>20.706417262947259</v>
      </c>
    </row>
    <row r="175" spans="2:18" x14ac:dyDescent="0.25">
      <c r="B175" s="656" t="s">
        <v>295</v>
      </c>
      <c r="C175" s="564" t="s">
        <v>3</v>
      </c>
      <c r="D175" s="172">
        <f>AVERAGE(F175:R175)</f>
        <v>22.271646372852572</v>
      </c>
      <c r="E175" s="228"/>
      <c r="F175" s="228">
        <f>'И. Д.'!G84</f>
        <v>19.5</v>
      </c>
      <c r="G175" s="228">
        <f>F175*(1+'цены и инфл'!E29)</f>
        <v>19.655999999999999</v>
      </c>
      <c r="H175" s="228">
        <f>G175*(1+'цены и инфл'!F29)</f>
        <v>20.265335999999998</v>
      </c>
      <c r="I175" s="228">
        <f>H175*(1+'цены и инфл'!G29)</f>
        <v>21.015153431999995</v>
      </c>
      <c r="J175" s="228">
        <f>I175*(1+'цены и инфл'!H29)</f>
        <v>21.435456500639994</v>
      </c>
      <c r="K175" s="228">
        <f>J175*(1+'цены и инфл'!I29)</f>
        <v>21.864165630652796</v>
      </c>
      <c r="L175" s="228">
        <f>K175*(1+'цены и инфл'!J29)</f>
        <v>22.301448943265854</v>
      </c>
      <c r="M175" s="228">
        <f>L175*(1+'цены и инфл'!K29)</f>
        <v>22.747477922131171</v>
      </c>
      <c r="N175" s="228">
        <f>M175*(1+'цены и инфл'!L29)</f>
        <v>23.202427480573796</v>
      </c>
      <c r="O175" s="228">
        <f>N175*(1+'цены и инфл'!M29)</f>
        <v>23.666476030185272</v>
      </c>
      <c r="P175" s="228">
        <f>O175*(1+'цены и инфл'!N29)</f>
        <v>24.139805550788978</v>
      </c>
      <c r="Q175" s="228">
        <f>P175*(1+'цены и инфл'!O29)</f>
        <v>24.622601661804758</v>
      </c>
      <c r="R175" s="228">
        <f>Q175*(1+'цены и инфл'!P29)</f>
        <v>25.115053695040853</v>
      </c>
    </row>
    <row r="176" spans="2:18" x14ac:dyDescent="0.25">
      <c r="B176" s="657"/>
      <c r="C176" s="563" t="s">
        <v>271</v>
      </c>
      <c r="D176" s="165">
        <f>SUM(F176:R176)</f>
        <v>384317.64924768062</v>
      </c>
      <c r="E176" s="177"/>
      <c r="F176" s="227">
        <f t="shared" ref="F176:R176" si="83">F175*F22</f>
        <v>24375</v>
      </c>
      <c r="G176" s="227">
        <f t="shared" si="83"/>
        <v>25552.799999999999</v>
      </c>
      <c r="H176" s="227">
        <f t="shared" si="83"/>
        <v>28371.470399999998</v>
      </c>
      <c r="I176" s="227">
        <f t="shared" si="83"/>
        <v>31522.730147999991</v>
      </c>
      <c r="J176" s="227">
        <f t="shared" si="83"/>
        <v>32153.18475095999</v>
      </c>
      <c r="K176" s="227">
        <f t="shared" si="83"/>
        <v>32796.248445979196</v>
      </c>
      <c r="L176" s="227">
        <f t="shared" si="83"/>
        <v>33452.173414898782</v>
      </c>
      <c r="M176" s="227">
        <f t="shared" si="83"/>
        <v>34121.216883196757</v>
      </c>
      <c r="N176" s="227">
        <f t="shared" si="83"/>
        <v>34803.641220860693</v>
      </c>
      <c r="O176" s="227">
        <f t="shared" si="83"/>
        <v>35499.714045277906</v>
      </c>
      <c r="P176" s="227">
        <f t="shared" si="83"/>
        <v>36209.70832618347</v>
      </c>
      <c r="Q176" s="227">
        <f t="shared" si="83"/>
        <v>19698.081329443805</v>
      </c>
      <c r="R176" s="227">
        <f t="shared" si="83"/>
        <v>15761.680282880043</v>
      </c>
    </row>
    <row r="177" spans="2:18" x14ac:dyDescent="0.25">
      <c r="B177" s="210"/>
      <c r="C177" s="209"/>
      <c r="D177" s="183"/>
      <c r="E177" s="183"/>
      <c r="F177" s="211"/>
      <c r="G177" s="211"/>
      <c r="H177" s="211"/>
      <c r="I177" s="211"/>
      <c r="J177" s="211"/>
      <c r="K177" s="211"/>
      <c r="L177" s="211"/>
      <c r="M177" s="168"/>
      <c r="N177" s="168"/>
      <c r="O177" s="168"/>
      <c r="P177" s="168"/>
      <c r="Q177" s="168"/>
      <c r="R177" s="168"/>
    </row>
    <row r="178" spans="2:18" x14ac:dyDescent="0.25">
      <c r="B178" s="664" t="s">
        <v>296</v>
      </c>
      <c r="C178" s="563" t="s">
        <v>271</v>
      </c>
      <c r="D178" s="165">
        <f>SUM(F178:R178)</f>
        <v>713679.59387948259</v>
      </c>
      <c r="E178" s="177"/>
      <c r="F178" s="233">
        <f>F181+F200+F202+F203+F204+F205+F206+F211</f>
        <v>49196.427416665771</v>
      </c>
      <c r="G178" s="233">
        <f t="shared" ref="G178:R178" si="84">G181+G200+G202+G203+G204+G205+G206+G211</f>
        <v>51583.120351897218</v>
      </c>
      <c r="H178" s="233">
        <f t="shared" si="84"/>
        <v>55711.449158932352</v>
      </c>
      <c r="I178" s="233">
        <f t="shared" si="84"/>
        <v>57743.580779500982</v>
      </c>
      <c r="J178" s="233">
        <f t="shared" si="84"/>
        <v>58755.102327929679</v>
      </c>
      <c r="K178" s="233">
        <f t="shared" si="84"/>
        <v>59801.621791108446</v>
      </c>
      <c r="L178" s="233">
        <f t="shared" si="84"/>
        <v>60881.778350747794</v>
      </c>
      <c r="M178" s="233">
        <f t="shared" si="84"/>
        <v>61994.97882830102</v>
      </c>
      <c r="N178" s="233">
        <f t="shared" si="84"/>
        <v>63140.744680556018</v>
      </c>
      <c r="O178" s="233">
        <f t="shared" si="84"/>
        <v>64318.701644277811</v>
      </c>
      <c r="P178" s="233">
        <f t="shared" si="84"/>
        <v>65528.570438514369</v>
      </c>
      <c r="Q178" s="233">
        <f t="shared" si="84"/>
        <v>36042.780044851206</v>
      </c>
      <c r="R178" s="233">
        <f t="shared" si="84"/>
        <v>28980.738066199941</v>
      </c>
    </row>
    <row r="179" spans="2:18" x14ac:dyDescent="0.25">
      <c r="B179" s="664"/>
      <c r="C179" s="564" t="s">
        <v>3</v>
      </c>
      <c r="D179" s="234">
        <f>D178/D22</f>
        <v>41.068988601892272</v>
      </c>
      <c r="E179" s="234"/>
      <c r="F179" s="234">
        <f t="shared" ref="F179:R179" si="85">F178/F22</f>
        <v>39.357141933332613</v>
      </c>
      <c r="G179" s="234">
        <f t="shared" si="85"/>
        <v>39.679323347613241</v>
      </c>
      <c r="H179" s="234">
        <f t="shared" si="85"/>
        <v>39.793892256380254</v>
      </c>
      <c r="I179" s="234">
        <f t="shared" si="85"/>
        <v>38.495720519667323</v>
      </c>
      <c r="J179" s="234">
        <f t="shared" si="85"/>
        <v>39.170068218619782</v>
      </c>
      <c r="K179" s="234">
        <f t="shared" si="85"/>
        <v>39.867747860738966</v>
      </c>
      <c r="L179" s="234">
        <f t="shared" si="85"/>
        <v>40.58785223383186</v>
      </c>
      <c r="M179" s="234">
        <f t="shared" si="85"/>
        <v>41.329985885534015</v>
      </c>
      <c r="N179" s="234">
        <f t="shared" si="85"/>
        <v>42.093829787037343</v>
      </c>
      <c r="O179" s="234">
        <f t="shared" si="85"/>
        <v>42.879134429518544</v>
      </c>
      <c r="P179" s="234">
        <f t="shared" si="85"/>
        <v>43.685713625676243</v>
      </c>
      <c r="Q179" s="234">
        <f t="shared" si="85"/>
        <v>45.053475056064009</v>
      </c>
      <c r="R179" s="234">
        <f t="shared" si="85"/>
        <v>46.178629409524447</v>
      </c>
    </row>
    <row r="180" spans="2:18" x14ac:dyDescent="0.25">
      <c r="B180" s="168" t="s">
        <v>272</v>
      </c>
      <c r="C180" s="235"/>
      <c r="D180" s="167"/>
      <c r="E180" s="167"/>
      <c r="F180" s="234"/>
      <c r="G180" s="234"/>
      <c r="H180" s="234"/>
      <c r="I180" s="234"/>
      <c r="J180" s="234"/>
      <c r="K180" s="234"/>
      <c r="L180" s="234"/>
      <c r="M180" s="234"/>
      <c r="N180" s="234"/>
      <c r="O180" s="234"/>
      <c r="P180" s="234"/>
      <c r="Q180" s="234"/>
      <c r="R180" s="234"/>
    </row>
    <row r="181" spans="2:18" x14ac:dyDescent="0.25">
      <c r="B181" s="665" t="s">
        <v>297</v>
      </c>
      <c r="C181" s="563" t="s">
        <v>271</v>
      </c>
      <c r="D181" s="165">
        <f>SUM(F181:R181)</f>
        <v>649517.91348662123</v>
      </c>
      <c r="E181" s="177"/>
      <c r="F181" s="234">
        <f t="shared" ref="F181" si="86">F183+F184+F185+F186+F187</f>
        <v>44045.819488404464</v>
      </c>
      <c r="G181" s="234">
        <f>G183+G184+G185+G186+G187</f>
        <v>46382.091954096955</v>
      </c>
      <c r="H181" s="234">
        <f t="shared" ref="H181:R181" si="87">H183+H184+H185+H186+H187</f>
        <v>50390.918656984475</v>
      </c>
      <c r="I181" s="234">
        <f t="shared" si="87"/>
        <v>52400.721788442832</v>
      </c>
      <c r="J181" s="234">
        <f t="shared" si="87"/>
        <v>53448.736224211687</v>
      </c>
      <c r="K181" s="234">
        <f t="shared" si="87"/>
        <v>54517.710948695923</v>
      </c>
      <c r="L181" s="234">
        <f t="shared" si="87"/>
        <v>55608.065167669847</v>
      </c>
      <c r="M181" s="234">
        <f t="shared" si="87"/>
        <v>56720.226471023248</v>
      </c>
      <c r="N181" s="234">
        <f t="shared" si="87"/>
        <v>57854.631000443704</v>
      </c>
      <c r="O181" s="234">
        <f t="shared" si="87"/>
        <v>59011.723620452583</v>
      </c>
      <c r="P181" s="234">
        <f t="shared" si="87"/>
        <v>60191.958092861641</v>
      </c>
      <c r="Q181" s="234">
        <f t="shared" si="87"/>
        <v>32744.42520251673</v>
      </c>
      <c r="R181" s="234">
        <f t="shared" si="87"/>
        <v>26200.88487081707</v>
      </c>
    </row>
    <row r="182" spans="2:18" x14ac:dyDescent="0.25">
      <c r="B182" s="665"/>
      <c r="C182" s="564" t="s">
        <v>3</v>
      </c>
      <c r="D182" s="236">
        <f>D181/D22</f>
        <v>37.376778059050757</v>
      </c>
      <c r="E182" s="236"/>
      <c r="F182" s="236">
        <f t="shared" ref="F182:R182" si="88">F181/F22</f>
        <v>35.236655590723572</v>
      </c>
      <c r="G182" s="236">
        <f t="shared" si="88"/>
        <v>35.67853227238227</v>
      </c>
      <c r="H182" s="236">
        <f t="shared" si="88"/>
        <v>35.993513326417485</v>
      </c>
      <c r="I182" s="236">
        <f t="shared" si="88"/>
        <v>34.933814525628556</v>
      </c>
      <c r="J182" s="236">
        <f t="shared" si="88"/>
        <v>35.632490816141122</v>
      </c>
      <c r="K182" s="236">
        <f t="shared" si="88"/>
        <v>36.345140632463952</v>
      </c>
      <c r="L182" s="236">
        <f t="shared" si="88"/>
        <v>37.072043445113231</v>
      </c>
      <c r="M182" s="236">
        <f t="shared" si="88"/>
        <v>37.813484314015497</v>
      </c>
      <c r="N182" s="236">
        <f t="shared" si="88"/>
        <v>38.569754000295802</v>
      </c>
      <c r="O182" s="236">
        <f t="shared" si="88"/>
        <v>39.341149080301719</v>
      </c>
      <c r="P182" s="236">
        <f t="shared" si="88"/>
        <v>40.127972061907762</v>
      </c>
      <c r="Q182" s="236">
        <f t="shared" si="88"/>
        <v>40.930531503145914</v>
      </c>
      <c r="R182" s="236">
        <f t="shared" si="88"/>
        <v>41.749142133208842</v>
      </c>
    </row>
    <row r="183" spans="2:18" x14ac:dyDescent="0.25">
      <c r="B183" s="169" t="s">
        <v>219</v>
      </c>
      <c r="C183" s="237" t="s">
        <v>271</v>
      </c>
      <c r="D183" s="183">
        <f>SUM(F183:R183)</f>
        <v>258045.04892953823</v>
      </c>
      <c r="E183" s="167"/>
      <c r="F183" s="238">
        <f>F189*F195*'цены и инфл'!D4/1000</f>
        <v>17283.279628594988</v>
      </c>
      <c r="G183" s="238">
        <f>G189*G195*'цены и инфл'!E4/1000</f>
        <v>19855.674736106794</v>
      </c>
      <c r="H183" s="238">
        <f>H189*H195*'цены и инфл'!F4/1000</f>
        <v>20707.780615470081</v>
      </c>
      <c r="I183" s="238">
        <f>I189*I195*'цены и инфл'!G4/1000</f>
        <v>20622.282395174807</v>
      </c>
      <c r="J183" s="238">
        <f>J189*J195*'цены и инфл'!H4/1000</f>
        <v>21034.728043078303</v>
      </c>
      <c r="K183" s="238">
        <f>K189*K195*'цены и инфл'!I4/1000</f>
        <v>21455.422603939871</v>
      </c>
      <c r="L183" s="238">
        <f>L189*L195*'цены и инфл'!J4/1000</f>
        <v>21884.531056018666</v>
      </c>
      <c r="M183" s="238">
        <f>M189*M195*'цены и инфл'!K4/1000</f>
        <v>22322.221677139041</v>
      </c>
      <c r="N183" s="238">
        <f>N189*N195*'цены и инфл'!L4/1000</f>
        <v>22768.666110681821</v>
      </c>
      <c r="O183" s="238">
        <f>O189*O195*'цены и инфл'!M4/1000</f>
        <v>23224.039432895461</v>
      </c>
      <c r="P183" s="238">
        <f>P189*P195*'цены и инфл'!N4/1000</f>
        <v>23688.520221553375</v>
      </c>
      <c r="Q183" s="238">
        <f>Q189*Q195*'цены и инфл'!O4/1000</f>
        <v>12886.555000525035</v>
      </c>
      <c r="R183" s="238">
        <f>R189*R195*'цены и инфл'!P4/1000</f>
        <v>10311.34740835999</v>
      </c>
    </row>
    <row r="184" spans="2:18" x14ac:dyDescent="0.25">
      <c r="B184" s="169" t="s">
        <v>220</v>
      </c>
      <c r="C184" s="237" t="s">
        <v>271</v>
      </c>
      <c r="D184" s="183">
        <f>SUM(F184:R184)</f>
        <v>199148.44908350793</v>
      </c>
      <c r="E184" s="167"/>
      <c r="F184" s="238">
        <f>F190*F196*'цены и инфл'!D5/1000</f>
        <v>12956.20847127209</v>
      </c>
      <c r="G184" s="238">
        <f>G190*G196*'цены и инфл'!E5/1000</f>
        <v>13474.456810122974</v>
      </c>
      <c r="H184" s="238">
        <f>H190*H196*'цены и инфл'!F5/1000</f>
        <v>15627.180679195875</v>
      </c>
      <c r="I184" s="238">
        <f>I190*I196*'цены и инфл'!G5/1000</f>
        <v>16181.788524195397</v>
      </c>
      <c r="J184" s="238">
        <f>J190*J196*'цены и инфл'!H5/1000</f>
        <v>16505.424294679306</v>
      </c>
      <c r="K184" s="238">
        <f>K190*K196*'цены и инфл'!I5/1000</f>
        <v>16835.532780572892</v>
      </c>
      <c r="L184" s="238">
        <f>L190*L196*'цены и инфл'!J5/1000</f>
        <v>17172.243436184352</v>
      </c>
      <c r="M184" s="238">
        <f>M190*M196*'цены и инфл'!K5/1000</f>
        <v>17515.688304908039</v>
      </c>
      <c r="N184" s="238">
        <f>N190*N196*'цены и инфл'!L5/1000</f>
        <v>17866.002071006198</v>
      </c>
      <c r="O184" s="238">
        <f>O190*O196*'цены и инфл'!M5/1000</f>
        <v>18223.322112426322</v>
      </c>
      <c r="P184" s="238">
        <f>P190*P196*'цены и инфл'!N5/1000</f>
        <v>18587.788554674848</v>
      </c>
      <c r="Q184" s="238">
        <f>Q190*Q196*'цены и инфл'!O5/1000</f>
        <v>10111.756973743119</v>
      </c>
      <c r="R184" s="238">
        <f>R190*R196*'цены и инфл'!P5/1000</f>
        <v>8091.0560705265343</v>
      </c>
    </row>
    <row r="185" spans="2:18" x14ac:dyDescent="0.25">
      <c r="B185" s="171" t="s">
        <v>221</v>
      </c>
      <c r="C185" s="237" t="s">
        <v>271</v>
      </c>
      <c r="D185" s="183">
        <f>SUM(F185:R185)</f>
        <v>44195.392320972911</v>
      </c>
      <c r="E185" s="167"/>
      <c r="F185" s="238">
        <f>F191*F197*'цены и инфл'!D8/1000</f>
        <v>3046.1193702528985</v>
      </c>
      <c r="G185" s="238">
        <f>G191*G197*'цены и инфл'!E8/1000</f>
        <v>3167.9641450630143</v>
      </c>
      <c r="H185" s="238">
        <f>H191*H197*'цены и инфл'!F8/1000</f>
        <v>3411.6536946832466</v>
      </c>
      <c r="I185" s="238">
        <f>I191*I197*'цены и инфл'!G8/1000</f>
        <v>3560.994975125539</v>
      </c>
      <c r="J185" s="238">
        <f>J191*J197*'цены и инфл'!H8/1000</f>
        <v>3632.2148746280504</v>
      </c>
      <c r="K185" s="238">
        <f>K191*K197*'цены и инфл'!I8/1000</f>
        <v>3704.8591721206112</v>
      </c>
      <c r="L185" s="238">
        <f>L191*L197*'цены и инфл'!J8/1000</f>
        <v>3778.9563555630239</v>
      </c>
      <c r="M185" s="238">
        <f>M191*M197*'цены и инфл'!K8/1000</f>
        <v>3854.535482674285</v>
      </c>
      <c r="N185" s="238">
        <f>N191*N197*'цены и инфл'!L8/1000</f>
        <v>3931.6261923277702</v>
      </c>
      <c r="O185" s="238">
        <f>O191*O197*'цены и инфл'!M8/1000</f>
        <v>4010.2587161743254</v>
      </c>
      <c r="P185" s="238">
        <f>P191*P197*'цены и инфл'!N8/1000</f>
        <v>4090.4638904978115</v>
      </c>
      <c r="Q185" s="238">
        <f>Q191*Q197*'цены и инфл'!O8/1000</f>
        <v>2225.2123564308095</v>
      </c>
      <c r="R185" s="238">
        <f>R191*R197*'цены и инфл'!P8/1000</f>
        <v>1780.5330954315261</v>
      </c>
    </row>
    <row r="186" spans="2:18" x14ac:dyDescent="0.25">
      <c r="B186" s="169" t="s">
        <v>222</v>
      </c>
      <c r="C186" s="237" t="s">
        <v>271</v>
      </c>
      <c r="D186" s="183">
        <f>SUM(F186:R186)</f>
        <v>57748.915596203777</v>
      </c>
      <c r="E186" s="167"/>
      <c r="F186" s="238">
        <f>F192*F198*'цены и инфл'!D6/31.1035</f>
        <v>4520.8192388928692</v>
      </c>
      <c r="G186" s="238">
        <f>G192*G198*'цены и инфл'!E6/31.1035</f>
        <v>3959.2859018514382</v>
      </c>
      <c r="H186" s="238">
        <f>H192*H198*'цены и инфл'!F6/31.1035</f>
        <v>4263.8463558400108</v>
      </c>
      <c r="I186" s="238">
        <f>I192*I198*'цены и инфл'!G6/31.1035</f>
        <v>4635.9285477388712</v>
      </c>
      <c r="J186" s="238">
        <f>J192*J198*'цены и инфл'!H6/31.1035</f>
        <v>4728.6471186936478</v>
      </c>
      <c r="K186" s="238">
        <f>K192*K198*'цены и инфл'!I6/31.1035</f>
        <v>4823.2200610675218</v>
      </c>
      <c r="L186" s="238">
        <f>L192*L198*'цены и инфл'!J6/31.1035</f>
        <v>4919.6844622888721</v>
      </c>
      <c r="M186" s="238">
        <f>M192*M198*'цены и инфл'!K6/31.1035</f>
        <v>5018.0781515346498</v>
      </c>
      <c r="N186" s="238">
        <f>N192*N198*'цены и инфл'!L6/31.1035</f>
        <v>5118.4397145653429</v>
      </c>
      <c r="O186" s="238">
        <f>O192*O198*'цены и инфл'!M6/31.1035</f>
        <v>5220.8085088566495</v>
      </c>
      <c r="P186" s="238">
        <f>P192*P198*'цены и инфл'!N6/31.1035</f>
        <v>5325.2246790337822</v>
      </c>
      <c r="Q186" s="238">
        <f>Q192*Q198*'цены и инфл'!O6/31.1035</f>
        <v>2896.9222253943776</v>
      </c>
      <c r="R186" s="238">
        <f>R192*R198*'цены и инфл'!P6/31.1035</f>
        <v>2318.0106304457427</v>
      </c>
    </row>
    <row r="187" spans="2:18" x14ac:dyDescent="0.25">
      <c r="B187" s="169" t="s">
        <v>224</v>
      </c>
      <c r="C187" s="237" t="s">
        <v>271</v>
      </c>
      <c r="D187" s="183">
        <f>SUM(F187:R187)</f>
        <v>90380.107556398318</v>
      </c>
      <c r="E187" s="167"/>
      <c r="F187" s="238">
        <f>F193*F199*'цены и инфл'!D7/31.1035</f>
        <v>6239.3927793916237</v>
      </c>
      <c r="G187" s="238">
        <f>G193*G199*'цены и инфл'!E7/31.1035</f>
        <v>5924.710360952743</v>
      </c>
      <c r="H187" s="238">
        <f>H193*H199*'цены и инфл'!F7/31.1035</f>
        <v>6380.4573117952605</v>
      </c>
      <c r="I187" s="238">
        <f>I193*I199*'цены и инфл'!G7/31.1035</f>
        <v>7399.7273462082176</v>
      </c>
      <c r="J187" s="238">
        <f>J193*J199*'цены и инфл'!H7/31.1035</f>
        <v>7547.7218931323814</v>
      </c>
      <c r="K187" s="238">
        <f>K193*K199*'цены и инфл'!I7/31.1035</f>
        <v>7698.6763309950293</v>
      </c>
      <c r="L187" s="238">
        <f>L193*L199*'цены и инфл'!J7/31.1035</f>
        <v>7852.6498576149297</v>
      </c>
      <c r="M187" s="238">
        <f>M193*M199*'цены и инфл'!K7/31.1035</f>
        <v>8009.7028547672289</v>
      </c>
      <c r="N187" s="238">
        <f>N193*N199*'цены и инфл'!L7/31.1035</f>
        <v>8169.8969118625737</v>
      </c>
      <c r="O187" s="238">
        <f>O193*O199*'цены и инфл'!M7/31.1035</f>
        <v>8333.2948500998245</v>
      </c>
      <c r="P187" s="238">
        <f>P193*P199*'цены и инфл'!N7/31.1035</f>
        <v>8499.9607471018226</v>
      </c>
      <c r="Q187" s="238">
        <f>Q193*Q199*'цены и инфл'!O7/31.1035</f>
        <v>4623.9786464233912</v>
      </c>
      <c r="R187" s="238">
        <f>R193*R199*'цены и инфл'!P7/31.1035</f>
        <v>3699.9376660532753</v>
      </c>
    </row>
    <row r="188" spans="2:18" x14ac:dyDescent="0.25">
      <c r="B188" s="239" t="s">
        <v>298</v>
      </c>
      <c r="C188" s="235"/>
      <c r="D188" s="167"/>
      <c r="E188" s="167"/>
      <c r="F188" s="238"/>
      <c r="G188" s="238"/>
      <c r="H188" s="238"/>
      <c r="I188" s="238"/>
      <c r="J188" s="238"/>
      <c r="K188" s="238"/>
      <c r="L188" s="238"/>
      <c r="M188" s="238"/>
      <c r="N188" s="238"/>
      <c r="O188" s="238"/>
      <c r="P188" s="238"/>
      <c r="Q188" s="238"/>
      <c r="R188" s="238"/>
    </row>
    <row r="189" spans="2:18" x14ac:dyDescent="0.25">
      <c r="B189" s="169" t="s">
        <v>219</v>
      </c>
      <c r="C189" s="179" t="s">
        <v>231</v>
      </c>
      <c r="D189" s="183">
        <f>SUM(F189:R189)</f>
        <v>326768.99999999994</v>
      </c>
      <c r="E189" s="183"/>
      <c r="F189" s="238">
        <f>F30</f>
        <v>23505.072254311144</v>
      </c>
      <c r="G189" s="238">
        <f t="shared" ref="G189:R189" si="89">G30</f>
        <v>24445.275144483589</v>
      </c>
      <c r="H189" s="238">
        <f t="shared" si="89"/>
        <v>26325.680924828477</v>
      </c>
      <c r="I189" s="238">
        <f t="shared" si="89"/>
        <v>28206.086705173369</v>
      </c>
      <c r="J189" s="238">
        <f t="shared" si="89"/>
        <v>28206.086705173369</v>
      </c>
      <c r="K189" s="238">
        <f t="shared" si="89"/>
        <v>28206.086705173369</v>
      </c>
      <c r="L189" s="238">
        <f t="shared" si="89"/>
        <v>28206.086705173369</v>
      </c>
      <c r="M189" s="238">
        <f t="shared" si="89"/>
        <v>28206.086705173369</v>
      </c>
      <c r="N189" s="238">
        <f t="shared" si="89"/>
        <v>28206.086705173369</v>
      </c>
      <c r="O189" s="238">
        <f t="shared" si="89"/>
        <v>28206.086705173369</v>
      </c>
      <c r="P189" s="238">
        <f t="shared" si="89"/>
        <v>28206.086705173369</v>
      </c>
      <c r="Q189" s="238">
        <f t="shared" si="89"/>
        <v>15043.246242759131</v>
      </c>
      <c r="R189" s="238">
        <f t="shared" si="89"/>
        <v>11801.031792230666</v>
      </c>
    </row>
    <row r="190" spans="2:18" x14ac:dyDescent="0.25">
      <c r="B190" s="169" t="s">
        <v>220</v>
      </c>
      <c r="C190" s="179" t="s">
        <v>231</v>
      </c>
      <c r="D190" s="183">
        <f>SUM(F190:R190)</f>
        <v>659773</v>
      </c>
      <c r="E190" s="183"/>
      <c r="F190" s="238">
        <f t="shared" ref="F190:R193" si="90">F31</f>
        <v>47458.639088908763</v>
      </c>
      <c r="G190" s="238">
        <f t="shared" si="90"/>
        <v>49356.984652465108</v>
      </c>
      <c r="H190" s="238">
        <f t="shared" si="90"/>
        <v>53153.67577957781</v>
      </c>
      <c r="I190" s="238">
        <f t="shared" si="90"/>
        <v>56950.366906690506</v>
      </c>
      <c r="J190" s="238">
        <f t="shared" si="90"/>
        <v>56950.366906690506</v>
      </c>
      <c r="K190" s="238">
        <f t="shared" si="90"/>
        <v>56950.366906690506</v>
      </c>
      <c r="L190" s="238">
        <f t="shared" si="90"/>
        <v>56950.366906690506</v>
      </c>
      <c r="M190" s="238">
        <f t="shared" si="90"/>
        <v>56950.366906690506</v>
      </c>
      <c r="N190" s="238">
        <f t="shared" si="90"/>
        <v>56950.366906690506</v>
      </c>
      <c r="O190" s="238">
        <f t="shared" si="90"/>
        <v>56950.366906690506</v>
      </c>
      <c r="P190" s="238">
        <f t="shared" si="90"/>
        <v>56950.366906690506</v>
      </c>
      <c r="Q190" s="238">
        <f t="shared" si="90"/>
        <v>30373.529016901604</v>
      </c>
      <c r="R190" s="238">
        <f t="shared" si="90"/>
        <v>23827.236208622617</v>
      </c>
    </row>
    <row r="191" spans="2:18" x14ac:dyDescent="0.25">
      <c r="B191" s="171" t="s">
        <v>221</v>
      </c>
      <c r="C191" s="179" t="s">
        <v>231</v>
      </c>
      <c r="D191" s="183">
        <f>SUM(F191:R191)</f>
        <v>203593</v>
      </c>
      <c r="E191" s="183"/>
      <c r="F191" s="238">
        <f t="shared" si="90"/>
        <v>14644.804664677396</v>
      </c>
      <c r="G191" s="238">
        <f t="shared" si="90"/>
        <v>15230.596851264492</v>
      </c>
      <c r="H191" s="238">
        <f t="shared" si="90"/>
        <v>16402.181224438686</v>
      </c>
      <c r="I191" s="238">
        <f t="shared" si="90"/>
        <v>17573.765597612877</v>
      </c>
      <c r="J191" s="238">
        <f t="shared" si="90"/>
        <v>17573.765597612877</v>
      </c>
      <c r="K191" s="238">
        <f t="shared" si="90"/>
        <v>17573.765597612877</v>
      </c>
      <c r="L191" s="238">
        <f t="shared" si="90"/>
        <v>17573.765597612877</v>
      </c>
      <c r="M191" s="238">
        <f t="shared" si="90"/>
        <v>17573.765597612877</v>
      </c>
      <c r="N191" s="238">
        <f t="shared" si="90"/>
        <v>17573.765597612877</v>
      </c>
      <c r="O191" s="238">
        <f t="shared" si="90"/>
        <v>17573.765597612877</v>
      </c>
      <c r="P191" s="238">
        <f t="shared" si="90"/>
        <v>17573.765597612877</v>
      </c>
      <c r="Q191" s="238">
        <f t="shared" si="90"/>
        <v>9372.6749853935344</v>
      </c>
      <c r="R191" s="238">
        <f t="shared" si="90"/>
        <v>7352.6174933228604</v>
      </c>
    </row>
    <row r="192" spans="2:18" x14ac:dyDescent="0.25">
      <c r="B192" s="169" t="s">
        <v>222</v>
      </c>
      <c r="C192" s="179" t="s">
        <v>71</v>
      </c>
      <c r="D192" s="183">
        <f>SUM(F192:R192)</f>
        <v>13717.999999999996</v>
      </c>
      <c r="E192" s="183"/>
      <c r="F192" s="238">
        <f t="shared" si="90"/>
        <v>986.76000839932874</v>
      </c>
      <c r="G192" s="238">
        <f t="shared" si="90"/>
        <v>1026.2304087353018</v>
      </c>
      <c r="H192" s="238">
        <f t="shared" si="90"/>
        <v>1105.1712094072482</v>
      </c>
      <c r="I192" s="238">
        <f t="shared" si="90"/>
        <v>1184.1120100791945</v>
      </c>
      <c r="J192" s="238">
        <f t="shared" si="90"/>
        <v>1184.1120100791945</v>
      </c>
      <c r="K192" s="238">
        <f t="shared" si="90"/>
        <v>1184.1120100791945</v>
      </c>
      <c r="L192" s="238">
        <f t="shared" si="90"/>
        <v>1184.1120100791945</v>
      </c>
      <c r="M192" s="238">
        <f t="shared" si="90"/>
        <v>1184.1120100791945</v>
      </c>
      <c r="N192" s="238">
        <f t="shared" si="90"/>
        <v>1184.1120100791945</v>
      </c>
      <c r="O192" s="238">
        <f t="shared" si="90"/>
        <v>1184.1120100791945</v>
      </c>
      <c r="P192" s="238">
        <f t="shared" si="90"/>
        <v>1184.1120100791945</v>
      </c>
      <c r="Q192" s="238">
        <f t="shared" si="90"/>
        <v>631.52640537557033</v>
      </c>
      <c r="R192" s="238">
        <f t="shared" si="90"/>
        <v>495.41588744899383</v>
      </c>
    </row>
    <row r="193" spans="2:18" x14ac:dyDescent="0.25">
      <c r="B193" s="169" t="s">
        <v>224</v>
      </c>
      <c r="C193" s="240" t="s">
        <v>71</v>
      </c>
      <c r="D193" s="183">
        <f>SUM(F193:R193)</f>
        <v>1564017.9999999998</v>
      </c>
      <c r="E193" s="183"/>
      <c r="F193" s="238">
        <f t="shared" si="90"/>
        <v>112502.58163119269</v>
      </c>
      <c r="G193" s="238">
        <f t="shared" si="90"/>
        <v>117002.68489644041</v>
      </c>
      <c r="H193" s="238">
        <f t="shared" si="90"/>
        <v>126002.89142693581</v>
      </c>
      <c r="I193" s="238">
        <f t="shared" si="90"/>
        <v>135003.09795743122</v>
      </c>
      <c r="J193" s="238">
        <f t="shared" si="90"/>
        <v>135003.09795743122</v>
      </c>
      <c r="K193" s="238">
        <f t="shared" si="90"/>
        <v>135003.09795743122</v>
      </c>
      <c r="L193" s="238">
        <f t="shared" si="90"/>
        <v>135003.09795743122</v>
      </c>
      <c r="M193" s="238">
        <f t="shared" si="90"/>
        <v>135003.09795743122</v>
      </c>
      <c r="N193" s="238">
        <f t="shared" si="90"/>
        <v>135003.09795743122</v>
      </c>
      <c r="O193" s="238">
        <f t="shared" si="90"/>
        <v>135003.09795743122</v>
      </c>
      <c r="P193" s="238">
        <f t="shared" si="90"/>
        <v>135003.09795743122</v>
      </c>
      <c r="Q193" s="238">
        <f t="shared" si="90"/>
        <v>72001.652243963312</v>
      </c>
      <c r="R193" s="238">
        <f t="shared" si="90"/>
        <v>56483.406142017819</v>
      </c>
    </row>
    <row r="194" spans="2:18" x14ac:dyDescent="0.25">
      <c r="B194" s="239" t="s">
        <v>299</v>
      </c>
      <c r="C194" s="237"/>
      <c r="D194" s="241"/>
      <c r="E194" s="241"/>
      <c r="F194" s="241"/>
      <c r="G194" s="241"/>
      <c r="H194" s="241"/>
      <c r="I194" s="241"/>
      <c r="J194" s="241"/>
      <c r="K194" s="241"/>
      <c r="L194" s="241"/>
      <c r="M194" s="241"/>
      <c r="N194" s="241"/>
      <c r="O194" s="241"/>
      <c r="P194" s="241"/>
      <c r="Q194" s="241"/>
      <c r="R194" s="241"/>
    </row>
    <row r="195" spans="2:18" x14ac:dyDescent="0.25">
      <c r="B195" s="169" t="s">
        <v>219</v>
      </c>
      <c r="C195" s="237" t="s">
        <v>2</v>
      </c>
      <c r="D195" s="242">
        <f>'И. Д.'!G127</f>
        <v>8.5500000000000007E-2</v>
      </c>
      <c r="E195" s="242"/>
      <c r="F195" s="242">
        <f>D195</f>
        <v>8.5500000000000007E-2</v>
      </c>
      <c r="G195" s="242">
        <f>D195</f>
        <v>8.5500000000000007E-2</v>
      </c>
      <c r="H195" s="242">
        <f>G195</f>
        <v>8.5500000000000007E-2</v>
      </c>
      <c r="I195" s="242">
        <f t="shared" ref="I195:R199" si="91">H195</f>
        <v>8.5500000000000007E-2</v>
      </c>
      <c r="J195" s="242">
        <f t="shared" si="91"/>
        <v>8.5500000000000007E-2</v>
      </c>
      <c r="K195" s="242">
        <f t="shared" si="91"/>
        <v>8.5500000000000007E-2</v>
      </c>
      <c r="L195" s="242">
        <f t="shared" si="91"/>
        <v>8.5500000000000007E-2</v>
      </c>
      <c r="M195" s="242">
        <f t="shared" si="91"/>
        <v>8.5500000000000007E-2</v>
      </c>
      <c r="N195" s="242">
        <f t="shared" si="91"/>
        <v>8.5500000000000007E-2</v>
      </c>
      <c r="O195" s="242">
        <f t="shared" si="91"/>
        <v>8.5500000000000007E-2</v>
      </c>
      <c r="P195" s="242">
        <f t="shared" si="91"/>
        <v>8.5500000000000007E-2</v>
      </c>
      <c r="Q195" s="242">
        <f t="shared" si="91"/>
        <v>8.5500000000000007E-2</v>
      </c>
      <c r="R195" s="242">
        <f t="shared" si="91"/>
        <v>8.5500000000000007E-2</v>
      </c>
    </row>
    <row r="196" spans="2:18" x14ac:dyDescent="0.25">
      <c r="B196" s="169" t="s">
        <v>220</v>
      </c>
      <c r="C196" s="237" t="s">
        <v>2</v>
      </c>
      <c r="D196" s="242">
        <f>'И. Д.'!G128</f>
        <v>0.105</v>
      </c>
      <c r="E196" s="242"/>
      <c r="F196" s="242">
        <f t="shared" ref="F196:F199" si="92">D196</f>
        <v>0.105</v>
      </c>
      <c r="G196" s="242">
        <f>D196</f>
        <v>0.105</v>
      </c>
      <c r="H196" s="242">
        <f>G196</f>
        <v>0.105</v>
      </c>
      <c r="I196" s="242">
        <f t="shared" si="91"/>
        <v>0.105</v>
      </c>
      <c r="J196" s="242">
        <f t="shared" si="91"/>
        <v>0.105</v>
      </c>
      <c r="K196" s="242">
        <f t="shared" si="91"/>
        <v>0.105</v>
      </c>
      <c r="L196" s="242">
        <f t="shared" si="91"/>
        <v>0.105</v>
      </c>
      <c r="M196" s="242">
        <f t="shared" si="91"/>
        <v>0.105</v>
      </c>
      <c r="N196" s="242">
        <f t="shared" si="91"/>
        <v>0.105</v>
      </c>
      <c r="O196" s="242">
        <f t="shared" si="91"/>
        <v>0.105</v>
      </c>
      <c r="P196" s="242">
        <f t="shared" si="91"/>
        <v>0.105</v>
      </c>
      <c r="Q196" s="242">
        <f t="shared" si="91"/>
        <v>0.105</v>
      </c>
      <c r="R196" s="242">
        <f t="shared" si="91"/>
        <v>0.105</v>
      </c>
    </row>
    <row r="197" spans="2:18" x14ac:dyDescent="0.25">
      <c r="B197" s="171" t="s">
        <v>221</v>
      </c>
      <c r="C197" s="237" t="s">
        <v>2</v>
      </c>
      <c r="D197" s="242">
        <f>'И. Д.'!G129</f>
        <v>0.104</v>
      </c>
      <c r="E197" s="242"/>
      <c r="F197" s="242">
        <f t="shared" si="92"/>
        <v>0.104</v>
      </c>
      <c r="G197" s="242">
        <f>D197</f>
        <v>0.104</v>
      </c>
      <c r="H197" s="242">
        <f t="shared" ref="H197:L199" si="93">G197</f>
        <v>0.104</v>
      </c>
      <c r="I197" s="242">
        <f t="shared" si="93"/>
        <v>0.104</v>
      </c>
      <c r="J197" s="242">
        <f t="shared" si="93"/>
        <v>0.104</v>
      </c>
      <c r="K197" s="242">
        <f t="shared" si="93"/>
        <v>0.104</v>
      </c>
      <c r="L197" s="242">
        <f t="shared" si="93"/>
        <v>0.104</v>
      </c>
      <c r="M197" s="242">
        <f t="shared" si="91"/>
        <v>0.104</v>
      </c>
      <c r="N197" s="242">
        <f t="shared" si="91"/>
        <v>0.104</v>
      </c>
      <c r="O197" s="242">
        <f t="shared" si="91"/>
        <v>0.104</v>
      </c>
      <c r="P197" s="242">
        <f t="shared" si="91"/>
        <v>0.104</v>
      </c>
      <c r="Q197" s="242">
        <f t="shared" si="91"/>
        <v>0.104</v>
      </c>
      <c r="R197" s="242">
        <f t="shared" si="91"/>
        <v>0.104</v>
      </c>
    </row>
    <row r="198" spans="2:18" x14ac:dyDescent="0.25">
      <c r="B198" s="169" t="s">
        <v>222</v>
      </c>
      <c r="C198" s="237" t="s">
        <v>2</v>
      </c>
      <c r="D198" s="242">
        <f>'И. Д.'!G125</f>
        <v>7.4999999999999997E-2</v>
      </c>
      <c r="E198" s="242"/>
      <c r="F198" s="242">
        <f t="shared" si="92"/>
        <v>7.4999999999999997E-2</v>
      </c>
      <c r="G198" s="242">
        <f>D198</f>
        <v>7.4999999999999997E-2</v>
      </c>
      <c r="H198" s="242">
        <f t="shared" si="93"/>
        <v>7.4999999999999997E-2</v>
      </c>
      <c r="I198" s="242">
        <f t="shared" si="93"/>
        <v>7.4999999999999997E-2</v>
      </c>
      <c r="J198" s="242">
        <f t="shared" si="93"/>
        <v>7.4999999999999997E-2</v>
      </c>
      <c r="K198" s="242">
        <f t="shared" si="93"/>
        <v>7.4999999999999997E-2</v>
      </c>
      <c r="L198" s="242">
        <f t="shared" si="93"/>
        <v>7.4999999999999997E-2</v>
      </c>
      <c r="M198" s="242">
        <f t="shared" si="91"/>
        <v>7.4999999999999997E-2</v>
      </c>
      <c r="N198" s="242">
        <f t="shared" si="91"/>
        <v>7.4999999999999997E-2</v>
      </c>
      <c r="O198" s="242">
        <f t="shared" si="91"/>
        <v>7.4999999999999997E-2</v>
      </c>
      <c r="P198" s="242">
        <f t="shared" si="91"/>
        <v>7.4999999999999997E-2</v>
      </c>
      <c r="Q198" s="242">
        <f t="shared" si="91"/>
        <v>7.4999999999999997E-2</v>
      </c>
      <c r="R198" s="242">
        <f t="shared" si="91"/>
        <v>7.4999999999999997E-2</v>
      </c>
    </row>
    <row r="199" spans="2:18" x14ac:dyDescent="0.25">
      <c r="B199" s="169" t="s">
        <v>224</v>
      </c>
      <c r="C199" s="237" t="s">
        <v>2</v>
      </c>
      <c r="D199" s="242">
        <f>'И. Д.'!G126</f>
        <v>7.4999999999999997E-2</v>
      </c>
      <c r="E199" s="242"/>
      <c r="F199" s="242">
        <f t="shared" si="92"/>
        <v>7.4999999999999997E-2</v>
      </c>
      <c r="G199" s="242">
        <f>D199</f>
        <v>7.4999999999999997E-2</v>
      </c>
      <c r="H199" s="242">
        <f t="shared" si="93"/>
        <v>7.4999999999999997E-2</v>
      </c>
      <c r="I199" s="242">
        <f t="shared" si="93"/>
        <v>7.4999999999999997E-2</v>
      </c>
      <c r="J199" s="242">
        <f t="shared" si="93"/>
        <v>7.4999999999999997E-2</v>
      </c>
      <c r="K199" s="242">
        <f t="shared" si="93"/>
        <v>7.4999999999999997E-2</v>
      </c>
      <c r="L199" s="242">
        <f t="shared" si="93"/>
        <v>7.4999999999999997E-2</v>
      </c>
      <c r="M199" s="242">
        <f t="shared" si="91"/>
        <v>7.4999999999999997E-2</v>
      </c>
      <c r="N199" s="242">
        <f t="shared" si="91"/>
        <v>7.4999999999999997E-2</v>
      </c>
      <c r="O199" s="242">
        <f t="shared" si="91"/>
        <v>7.4999999999999997E-2</v>
      </c>
      <c r="P199" s="242">
        <f t="shared" si="91"/>
        <v>7.4999999999999997E-2</v>
      </c>
      <c r="Q199" s="242">
        <f t="shared" si="91"/>
        <v>7.4999999999999997E-2</v>
      </c>
      <c r="R199" s="242">
        <f t="shared" si="91"/>
        <v>7.4999999999999997E-2</v>
      </c>
    </row>
    <row r="200" spans="2:18" x14ac:dyDescent="0.25">
      <c r="B200" s="666" t="s">
        <v>300</v>
      </c>
      <c r="C200" s="205" t="s">
        <v>271</v>
      </c>
      <c r="D200" s="165">
        <f>SUM(F200:R200)</f>
        <v>3567.1778545926359</v>
      </c>
      <c r="E200" s="177"/>
      <c r="F200" s="234">
        <f>'И. Д.'!G123/'Инфл. тенге'!E16</f>
        <v>240.25016796293636</v>
      </c>
      <c r="G200" s="234">
        <f>F200*(1+'цены и инфл'!E29)</f>
        <v>242.17216930663986</v>
      </c>
      <c r="H200" s="234">
        <f>G200*(1+'цены и инфл'!F29)</f>
        <v>249.67950655514568</v>
      </c>
      <c r="I200" s="234">
        <f>H200*(1+'цены и инфл'!G29)</f>
        <v>258.91764829768607</v>
      </c>
      <c r="J200" s="234">
        <f>I200*(1+'цены и инфл'!H29)</f>
        <v>264.09600126363978</v>
      </c>
      <c r="K200" s="234">
        <f>J200*(1+'цены и инфл'!I29)</f>
        <v>269.3779212889126</v>
      </c>
      <c r="L200" s="234">
        <f>K200*(1+'цены и инфл'!J29)</f>
        <v>274.76547971469085</v>
      </c>
      <c r="M200" s="234">
        <f>L200*(1+'цены и инфл'!K29)</f>
        <v>280.26078930898467</v>
      </c>
      <c r="N200" s="234">
        <f>M200*(1+'цены и инфл'!L29)</f>
        <v>285.86600509516438</v>
      </c>
      <c r="O200" s="234">
        <f>N200*(1+'цены и инфл'!M29)</f>
        <v>291.58332519706767</v>
      </c>
      <c r="P200" s="234">
        <f>O200*(1+'цены и инфл'!N29)</f>
        <v>297.414991701009</v>
      </c>
      <c r="Q200" s="234">
        <f>P200*(1+'цены и инфл'!O29)</f>
        <v>303.36329153502919</v>
      </c>
      <c r="R200" s="234">
        <f>Q200*(1+'цены и инфл'!P29)</f>
        <v>309.43055736572978</v>
      </c>
    </row>
    <row r="201" spans="2:18" x14ac:dyDescent="0.25">
      <c r="B201" s="667"/>
      <c r="C201" s="564" t="s">
        <v>3</v>
      </c>
      <c r="D201" s="243">
        <f>AVERAGE(G201:L201)</f>
        <v>0.17934447041237175</v>
      </c>
      <c r="E201" s="243"/>
      <c r="F201" s="236">
        <f t="shared" ref="F201:R201" si="94">F200/F22</f>
        <v>0.19220013437034908</v>
      </c>
      <c r="G201" s="236">
        <f t="shared" si="94"/>
        <v>0.18628628408203066</v>
      </c>
      <c r="H201" s="236">
        <f t="shared" si="94"/>
        <v>0.17834250468224691</v>
      </c>
      <c r="I201" s="236">
        <f t="shared" si="94"/>
        <v>0.17261176553179072</v>
      </c>
      <c r="J201" s="236">
        <f t="shared" si="94"/>
        <v>0.17606400084242652</v>
      </c>
      <c r="K201" s="236">
        <f t="shared" si="94"/>
        <v>0.17958528085927508</v>
      </c>
      <c r="L201" s="236">
        <f t="shared" si="94"/>
        <v>0.18317698647646058</v>
      </c>
      <c r="M201" s="236">
        <f t="shared" si="94"/>
        <v>0.18684052620598979</v>
      </c>
      <c r="N201" s="236">
        <f t="shared" si="94"/>
        <v>0.1905773367301096</v>
      </c>
      <c r="O201" s="236">
        <f t="shared" si="94"/>
        <v>0.19438888346471178</v>
      </c>
      <c r="P201" s="236">
        <f t="shared" si="94"/>
        <v>0.19827666113400599</v>
      </c>
      <c r="Q201" s="236">
        <f t="shared" si="94"/>
        <v>0.37920411441878649</v>
      </c>
      <c r="R201" s="236">
        <f t="shared" si="94"/>
        <v>0.49305435230581296</v>
      </c>
    </row>
    <row r="202" spans="2:18" ht="13.8" x14ac:dyDescent="0.3">
      <c r="B202" s="565" t="str">
        <f>[2]Макро!A26</f>
        <v>Плата за пользование водными ресурсами</v>
      </c>
      <c r="C202" s="253" t="s">
        <v>271</v>
      </c>
      <c r="D202" s="165">
        <f>SUM(F202:R202)</f>
        <v>12.578915226429849</v>
      </c>
      <c r="E202" s="177"/>
      <c r="F202" s="247">
        <f>'И. Д.'!G122/'Инфл. тенге'!E16</f>
        <v>0.84719254803919086</v>
      </c>
      <c r="G202" s="234">
        <f>F202*(1+'цены и инфл'!E29)</f>
        <v>0.85397008842350441</v>
      </c>
      <c r="H202" s="234">
        <f>G202*(1+'цены и инфл'!F29)</f>
        <v>0.88044316116463295</v>
      </c>
      <c r="I202" s="234">
        <f>H202*(1+'цены и инфл'!G29)</f>
        <v>0.91301955812772428</v>
      </c>
      <c r="J202" s="234">
        <f>I202*(1+'цены и инфл'!H29)</f>
        <v>0.9312799492902788</v>
      </c>
      <c r="K202" s="234">
        <f>J202*(1+'цены и инфл'!I29)</f>
        <v>0.94990554827608442</v>
      </c>
      <c r="L202" s="234">
        <f>K202*(1+'цены и инфл'!J29)</f>
        <v>0.96890365924160615</v>
      </c>
      <c r="M202" s="234">
        <f>L202*(1+'цены и инфл'!K29)</f>
        <v>0.98828173242643824</v>
      </c>
      <c r="N202" s="234">
        <f>M202*(1+'цены и инфл'!L29)</f>
        <v>1.008047367074967</v>
      </c>
      <c r="O202" s="234">
        <f>N202*(1+'цены и инфл'!M29)</f>
        <v>1.0282083144164664</v>
      </c>
      <c r="P202" s="234">
        <f>O202*(1+'цены и инфл'!N29)</f>
        <v>1.0487724807047958</v>
      </c>
      <c r="Q202" s="234">
        <f>P202*(1+'цены и инфл'!O29)</f>
        <v>1.0697479303188917</v>
      </c>
      <c r="R202" s="234">
        <f>Q202*(1+'цены и инфл'!P29)</f>
        <v>1.0911428889252694</v>
      </c>
    </row>
    <row r="203" spans="2:18" ht="13.8" x14ac:dyDescent="0.25">
      <c r="B203" s="566" t="s">
        <v>80</v>
      </c>
      <c r="C203" s="205" t="s">
        <v>271</v>
      </c>
      <c r="D203" s="165">
        <f>SUM(F203:R203)</f>
        <v>280.85506707359991</v>
      </c>
      <c r="E203" s="177"/>
      <c r="F203" s="234">
        <f>'И. Д.'!G116/'Инфл. тенге'!E16</f>
        <v>18.915646987099752</v>
      </c>
      <c r="G203" s="234">
        <f>F203*(1+'цены и инфл'!E29)</f>
        <v>19.066972162996549</v>
      </c>
      <c r="H203" s="234">
        <f>G203*(1+'цены и инфл'!F29)</f>
        <v>19.65804830004944</v>
      </c>
      <c r="I203" s="234">
        <f>H203*(1+'цены и инфл'!G29)</f>
        <v>20.385396087151268</v>
      </c>
      <c r="J203" s="234">
        <f>I203*(1+'цены и инфл'!H29)</f>
        <v>20.793104008894293</v>
      </c>
      <c r="K203" s="234">
        <f>J203*(1+'цены и инфл'!I29)</f>
        <v>21.208966089072177</v>
      </c>
      <c r="L203" s="234">
        <f>K203*(1+'цены и инфл'!J29)</f>
        <v>21.633145410853622</v>
      </c>
      <c r="M203" s="234">
        <f>L203*(1+'цены и инфл'!K29)</f>
        <v>22.065808319070694</v>
      </c>
      <c r="N203" s="234">
        <f>M203*(1+'цены и инфл'!L29)</f>
        <v>22.50712448545211</v>
      </c>
      <c r="O203" s="234">
        <f>N203*(1+'цены и инфл'!M29)</f>
        <v>22.957266975161151</v>
      </c>
      <c r="P203" s="234">
        <f>O203*(1+'цены и инфл'!N29)</f>
        <v>23.416412314664374</v>
      </c>
      <c r="Q203" s="234">
        <f>P203*(1+'цены и инфл'!O29)</f>
        <v>23.884740560957663</v>
      </c>
      <c r="R203" s="234">
        <f>Q203*(1+'цены и инфл'!P29)</f>
        <v>24.362435372176815</v>
      </c>
    </row>
    <row r="204" spans="2:18" ht="13.8" x14ac:dyDescent="0.25">
      <c r="B204" s="567" t="s">
        <v>163</v>
      </c>
      <c r="C204" s="205" t="s">
        <v>271</v>
      </c>
      <c r="D204" s="165">
        <f>SUM(F204:R204)</f>
        <v>143.25001890509773</v>
      </c>
      <c r="E204" s="177"/>
      <c r="F204" s="234">
        <f>'И. Д.'!G121/'Инфл. тенге'!E16</f>
        <v>9.647918468190241</v>
      </c>
      <c r="G204" s="234">
        <f>F204*(1+'цены и инфл'!E29)</f>
        <v>9.7251018159357638</v>
      </c>
      <c r="H204" s="234">
        <f>G204*(1+'цены и инфл'!F29)</f>
        <v>10.026579972229772</v>
      </c>
      <c r="I204" s="234">
        <f>H204*(1+'цены и инфл'!G29)</f>
        <v>10.397563431202274</v>
      </c>
      <c r="J204" s="234">
        <f>I204*(1+'цены и инфл'!H29)</f>
        <v>10.605514699826319</v>
      </c>
      <c r="K204" s="234">
        <f>J204*(1+'цены и инфл'!I29)</f>
        <v>10.817624993822845</v>
      </c>
      <c r="L204" s="234">
        <f>K204*(1+'цены и инфл'!J29)</f>
        <v>11.033977493699302</v>
      </c>
      <c r="M204" s="234">
        <f>L204*(1+'цены и инфл'!K29)</f>
        <v>11.254657043573289</v>
      </c>
      <c r="N204" s="234">
        <f>M204*(1+'цены и инфл'!L29)</f>
        <v>11.479750184444756</v>
      </c>
      <c r="O204" s="234">
        <f>N204*(1+'цены и инфл'!M29)</f>
        <v>11.709345188133652</v>
      </c>
      <c r="P204" s="234">
        <f>O204*(1+'цены и инфл'!N29)</f>
        <v>11.943532091896325</v>
      </c>
      <c r="Q204" s="234">
        <f>P204*(1+'цены и инфл'!O29)</f>
        <v>12.182402733734252</v>
      </c>
      <c r="R204" s="234">
        <f>Q204*(1+'цены и инфл'!P29)</f>
        <v>12.426050788408936</v>
      </c>
    </row>
    <row r="205" spans="2:18" ht="13.8" x14ac:dyDescent="0.25">
      <c r="B205" s="567" t="s">
        <v>84</v>
      </c>
      <c r="C205" s="205" t="s">
        <v>271</v>
      </c>
      <c r="D205" s="165">
        <f>SUM(F205:R205)</f>
        <v>13.44686378244535</v>
      </c>
      <c r="E205" s="177"/>
      <c r="F205" s="234">
        <f>'И. Д.'!G120/'Инфл. тенге'!E16</f>
        <v>0.90564906320774141</v>
      </c>
      <c r="G205" s="234">
        <f>F205*(1+'цены и инфл'!E29)</f>
        <v>0.91289425571340332</v>
      </c>
      <c r="H205" s="234">
        <f>G205*(1+'цены и инфл'!F29)</f>
        <v>0.94119397764051871</v>
      </c>
      <c r="I205" s="234">
        <f>H205*(1+'цены и инфл'!G29)</f>
        <v>0.97601815481321785</v>
      </c>
      <c r="J205" s="234">
        <f>I205*(1+'цены и инфл'!H29)</f>
        <v>0.99553851790948222</v>
      </c>
      <c r="K205" s="234">
        <f>J205*(1+'цены и инфл'!I29)</f>
        <v>1.0154492882676718</v>
      </c>
      <c r="L205" s="234">
        <f>K205*(1+'цены и инфл'!J29)</f>
        <v>1.0357582740330253</v>
      </c>
      <c r="M205" s="234">
        <f>L205*(1+'цены и инфл'!K29)</f>
        <v>1.0564734395136859</v>
      </c>
      <c r="N205" s="234">
        <f>M205*(1+'цены и инфл'!L29)</f>
        <v>1.0776029083039596</v>
      </c>
      <c r="O205" s="234">
        <f>N205*(1+'цены и инфл'!M29)</f>
        <v>1.0991549664700389</v>
      </c>
      <c r="P205" s="234">
        <f>O205*(1+'цены и инфл'!N29)</f>
        <v>1.1211380657994396</v>
      </c>
      <c r="Q205" s="234">
        <f>P205*(1+'цены и инфл'!O29)</f>
        <v>1.1435608271154285</v>
      </c>
      <c r="R205" s="234">
        <f>Q205*(1+'цены и инфл'!P29)</f>
        <v>1.1664320436577371</v>
      </c>
    </row>
    <row r="206" spans="2:18" x14ac:dyDescent="0.25">
      <c r="B206" s="668" t="s">
        <v>301</v>
      </c>
      <c r="C206" s="205" t="s">
        <v>271</v>
      </c>
      <c r="D206" s="165">
        <f>SUM(F206:R206)</f>
        <v>12155.163552237169</v>
      </c>
      <c r="E206" s="177"/>
      <c r="F206" s="234">
        <f>F208+F209+F210</f>
        <v>1618.1539825428572</v>
      </c>
      <c r="G206" s="234">
        <f>G208+G209+G210</f>
        <v>1457.6065011157268</v>
      </c>
      <c r="H206" s="234">
        <f t="shared" ref="H206:R206" si="95">H208+H209+H210</f>
        <v>1313.3960906448219</v>
      </c>
      <c r="I206" s="234">
        <f t="shared" si="95"/>
        <v>1183.7279830958003</v>
      </c>
      <c r="J206" s="234">
        <f t="shared" si="95"/>
        <v>1066.8734449948627</v>
      </c>
      <c r="K206" s="234">
        <f t="shared" si="95"/>
        <v>961.73472590819154</v>
      </c>
      <c r="L206" s="234">
        <f t="shared" si="95"/>
        <v>867.14085123844359</v>
      </c>
      <c r="M206" s="234">
        <f t="shared" si="95"/>
        <v>782.03795599409182</v>
      </c>
      <c r="N206" s="234">
        <f t="shared" si="95"/>
        <v>705.47757407176539</v>
      </c>
      <c r="O206" s="234">
        <f t="shared" si="95"/>
        <v>636.60609861521289</v>
      </c>
      <c r="P206" s="234">
        <f t="shared" si="95"/>
        <v>574.65529634332825</v>
      </c>
      <c r="Q206" s="234">
        <f t="shared" si="95"/>
        <v>518.93377045042496</v>
      </c>
      <c r="R206" s="234">
        <f t="shared" si="95"/>
        <v>468.81927722164073</v>
      </c>
    </row>
    <row r="207" spans="2:18" x14ac:dyDescent="0.25">
      <c r="B207" s="669"/>
      <c r="C207" s="564" t="s">
        <v>3</v>
      </c>
      <c r="D207" s="172">
        <f>AVERAGE(F207:R207)</f>
        <v>0.71295619179949077</v>
      </c>
      <c r="E207" s="243"/>
      <c r="F207" s="236">
        <f t="shared" ref="F207:R207" si="96">F206/F22</f>
        <v>1.2945231860342858</v>
      </c>
      <c r="G207" s="236">
        <f t="shared" si="96"/>
        <v>1.1212357700890205</v>
      </c>
      <c r="H207" s="236">
        <f t="shared" si="96"/>
        <v>0.93814006474630141</v>
      </c>
      <c r="I207" s="236">
        <f t="shared" si="96"/>
        <v>0.78915198873053349</v>
      </c>
      <c r="J207" s="236">
        <f t="shared" si="96"/>
        <v>0.71124896332990839</v>
      </c>
      <c r="K207" s="236">
        <f t="shared" si="96"/>
        <v>0.64115648393879432</v>
      </c>
      <c r="L207" s="236">
        <f t="shared" si="96"/>
        <v>0.57809390082562906</v>
      </c>
      <c r="M207" s="236">
        <f t="shared" si="96"/>
        <v>0.52135863732939458</v>
      </c>
      <c r="N207" s="236">
        <f t="shared" si="96"/>
        <v>0.47031838271451026</v>
      </c>
      <c r="O207" s="236">
        <f t="shared" si="96"/>
        <v>0.42440406574347528</v>
      </c>
      <c r="P207" s="236">
        <f t="shared" si="96"/>
        <v>0.38310353089555216</v>
      </c>
      <c r="Q207" s="236">
        <f t="shared" si="96"/>
        <v>0.64866721306303121</v>
      </c>
      <c r="R207" s="236">
        <f t="shared" si="96"/>
        <v>0.74702830595294101</v>
      </c>
    </row>
    <row r="208" spans="2:18" x14ac:dyDescent="0.25">
      <c r="B208" s="248" t="s">
        <v>302</v>
      </c>
      <c r="C208" s="237" t="s">
        <v>271</v>
      </c>
      <c r="D208" s="183">
        <f>SUM(F208:R208)</f>
        <v>169.04697778754539</v>
      </c>
      <c r="E208" s="167"/>
      <c r="F208" s="241">
        <f>'И. Д.'!G118/'Инфл. тенге'!E16</f>
        <v>11.385348996489141</v>
      </c>
      <c r="G208" s="241">
        <f>F208*(1+'цены и инфл'!E29)</f>
        <v>11.476431788461054</v>
      </c>
      <c r="H208" s="241">
        <f>G208*(1+'цены и инфл'!F29)</f>
        <v>11.832201173903346</v>
      </c>
      <c r="I208" s="241">
        <f>H208*(1+'цены и инфл'!G29)</f>
        <v>12.269992617337769</v>
      </c>
      <c r="J208" s="241">
        <f>I208*(1+'цены и инфл'!H29)</f>
        <v>12.515392469684524</v>
      </c>
      <c r="K208" s="241">
        <f>J208*(1+'цены и инфл'!I29)</f>
        <v>12.765700319078215</v>
      </c>
      <c r="L208" s="241">
        <f>K208*(1+'цены и инфл'!J29)</f>
        <v>13.021014325459779</v>
      </c>
      <c r="M208" s="241">
        <f>L208*(1+'цены и инфл'!K29)</f>
        <v>13.281434611968976</v>
      </c>
      <c r="N208" s="241">
        <f>M208*(1+'цены и инфл'!L29)</f>
        <v>13.547063304208356</v>
      </c>
      <c r="O208" s="241">
        <f>N208*(1+'цены и инфл'!M29)</f>
        <v>13.818004570292523</v>
      </c>
      <c r="P208" s="241">
        <f>O208*(1+'цены и инфл'!N29)</f>
        <v>14.094364661698373</v>
      </c>
      <c r="Q208" s="241">
        <f>P208*(1+'цены и инфл'!O29)</f>
        <v>14.376251954932341</v>
      </c>
      <c r="R208" s="241">
        <f>Q208*(1+'цены и инфл'!P29)</f>
        <v>14.663776994030988</v>
      </c>
    </row>
    <row r="209" spans="1:18" x14ac:dyDescent="0.25">
      <c r="B209" s="248" t="s">
        <v>303</v>
      </c>
      <c r="C209" s="237" t="s">
        <v>271</v>
      </c>
      <c r="D209" s="183">
        <f>SUM(F209:R209)</f>
        <v>11980.851236159528</v>
      </c>
      <c r="E209" s="167"/>
      <c r="F209" s="241">
        <f>'Аморт ОС'!E59</f>
        <v>1606.4140119210549</v>
      </c>
      <c r="G209" s="241">
        <f>'Аморт ОС'!F59</f>
        <v>1445.77261072895</v>
      </c>
      <c r="H209" s="241">
        <f>'Аморт ОС'!G59</f>
        <v>1301.195349656055</v>
      </c>
      <c r="I209" s="241">
        <f>'Аморт ОС'!H59</f>
        <v>1171.0758146904489</v>
      </c>
      <c r="J209" s="241">
        <f>'Аморт ОС'!I59</f>
        <v>1053.9682332214043</v>
      </c>
      <c r="K209" s="241">
        <f>'Аморт ОС'!J59</f>
        <v>948.57140989926404</v>
      </c>
      <c r="L209" s="241">
        <f>'Аморт ОС'!K59</f>
        <v>853.71426890933753</v>
      </c>
      <c r="M209" s="241">
        <f>'Аморт ОС'!L59</f>
        <v>768.34284201840364</v>
      </c>
      <c r="N209" s="241">
        <f>'Аморт ОС'!M59</f>
        <v>691.50855781656344</v>
      </c>
      <c r="O209" s="241">
        <f>'Аморт ОС'!N59</f>
        <v>622.35770203490688</v>
      </c>
      <c r="P209" s="241">
        <f>'Аморт ОС'!O59</f>
        <v>560.12193183141608</v>
      </c>
      <c r="Q209" s="241">
        <f>'Аморт ОС'!P59</f>
        <v>504.10973864827457</v>
      </c>
      <c r="R209" s="241">
        <f>'Аморт ОС'!Q59</f>
        <v>453.69876478344736</v>
      </c>
    </row>
    <row r="210" spans="1:18" x14ac:dyDescent="0.25">
      <c r="B210" s="244" t="s">
        <v>304</v>
      </c>
      <c r="C210" s="237" t="s">
        <v>271</v>
      </c>
      <c r="D210" s="183">
        <f>SUM(F210:R210)</f>
        <v>5.2653382900963948</v>
      </c>
      <c r="E210" s="180"/>
      <c r="F210" s="249">
        <f>'И. Д.'!G117/'Инфл. тенге'!E16</f>
        <v>0.3546216253133247</v>
      </c>
      <c r="G210" s="241">
        <f>F210*(1+'цены и инфл'!E29)</f>
        <v>0.35745859831583132</v>
      </c>
      <c r="H210" s="241">
        <f>G210*(1+'цены и инфл'!F29)</f>
        <v>0.36853981486362208</v>
      </c>
      <c r="I210" s="241">
        <f>H210*(1+'цены и инфл'!G29)</f>
        <v>0.38217578801357605</v>
      </c>
      <c r="J210" s="241">
        <f>I210*(1+'цены и инфл'!H29)</f>
        <v>0.38981930377384755</v>
      </c>
      <c r="K210" s="241">
        <f>J210*(1+'цены и инфл'!I29)</f>
        <v>0.39761568984932449</v>
      </c>
      <c r="L210" s="241">
        <f>K210*(1+'цены и инфл'!J29)</f>
        <v>0.40556800364631101</v>
      </c>
      <c r="M210" s="241">
        <f>L210*(1+'цены и инфл'!K29)</f>
        <v>0.41367936371923725</v>
      </c>
      <c r="N210" s="241">
        <f>M210*(1+'цены и инфл'!L29)</f>
        <v>0.42195295099362201</v>
      </c>
      <c r="O210" s="241">
        <f>N210*(1+'цены и инфл'!M29)</f>
        <v>0.43039201001349447</v>
      </c>
      <c r="P210" s="241">
        <f>O210*(1+'цены и инфл'!N29)</f>
        <v>0.43899985021376436</v>
      </c>
      <c r="Q210" s="241">
        <f>P210*(1+'цены и инфл'!O29)</f>
        <v>0.44777984721803965</v>
      </c>
      <c r="R210" s="241">
        <f>Q210*(1+'цены и инфл'!P29)</f>
        <v>0.45673544416240047</v>
      </c>
    </row>
    <row r="211" spans="1:18" x14ac:dyDescent="0.25">
      <c r="B211" s="653" t="s">
        <v>305</v>
      </c>
      <c r="C211" s="563" t="s">
        <v>271</v>
      </c>
      <c r="D211" s="165">
        <f>SUM(F211:R211)</f>
        <v>47989.208121044081</v>
      </c>
      <c r="E211" s="177"/>
      <c r="F211" s="234">
        <f>F213+F215+F216+F217</f>
        <v>3261.887370688979</v>
      </c>
      <c r="G211" s="234">
        <f>G213+G215+G216+G217</f>
        <v>3470.6907890548246</v>
      </c>
      <c r="H211" s="234">
        <f t="shared" ref="H211:R211" si="97">H213+H215+H216+H217</f>
        <v>3725.9486393368229</v>
      </c>
      <c r="I211" s="234">
        <f t="shared" si="97"/>
        <v>3867.5413624333714</v>
      </c>
      <c r="J211" s="234">
        <f t="shared" si="97"/>
        <v>3942.0712202835612</v>
      </c>
      <c r="K211" s="234">
        <f t="shared" si="97"/>
        <v>4018.806249295983</v>
      </c>
      <c r="L211" s="234">
        <f t="shared" si="97"/>
        <v>4097.1350672869894</v>
      </c>
      <c r="M211" s="234">
        <f t="shared" si="97"/>
        <v>4177.0883914401084</v>
      </c>
      <c r="N211" s="234">
        <f t="shared" si="97"/>
        <v>4258.6975760001042</v>
      </c>
      <c r="O211" s="234">
        <f t="shared" si="97"/>
        <v>4341.9946245687652</v>
      </c>
      <c r="P211" s="234">
        <f t="shared" si="97"/>
        <v>4427.0122026553354</v>
      </c>
      <c r="Q211" s="234">
        <f t="shared" si="97"/>
        <v>2437.7773282968974</v>
      </c>
      <c r="R211" s="234">
        <f t="shared" si="97"/>
        <v>1962.5572997023341</v>
      </c>
    </row>
    <row r="212" spans="1:18" x14ac:dyDescent="0.25">
      <c r="B212" s="654"/>
      <c r="C212" s="564" t="s">
        <v>3</v>
      </c>
      <c r="D212" s="236">
        <f>D211/D22</f>
        <v>2.7615589099634694</v>
      </c>
      <c r="E212" s="236"/>
      <c r="F212" s="236">
        <f t="shared" ref="F212:R212" si="98">F211/F22</f>
        <v>2.6095098965511832</v>
      </c>
      <c r="G212" s="236">
        <f t="shared" si="98"/>
        <v>2.6697621454267879</v>
      </c>
      <c r="H212" s="236">
        <f t="shared" si="98"/>
        <v>2.661391885240588</v>
      </c>
      <c r="I212" s="236">
        <f t="shared" si="98"/>
        <v>2.5783609082889143</v>
      </c>
      <c r="J212" s="236">
        <f t="shared" si="98"/>
        <v>2.6280474801890406</v>
      </c>
      <c r="K212" s="236">
        <f t="shared" si="98"/>
        <v>2.679204166197322</v>
      </c>
      <c r="L212" s="236">
        <f t="shared" si="98"/>
        <v>2.7314233781913262</v>
      </c>
      <c r="M212" s="236">
        <f t="shared" si="98"/>
        <v>2.7847255942934055</v>
      </c>
      <c r="N212" s="236">
        <f t="shared" si="98"/>
        <v>2.839131717333403</v>
      </c>
      <c r="O212" s="236">
        <f t="shared" si="98"/>
        <v>2.8946630830458435</v>
      </c>
      <c r="P212" s="236">
        <f t="shared" si="98"/>
        <v>2.9513414684368904</v>
      </c>
      <c r="Q212" s="236">
        <f t="shared" si="98"/>
        <v>3.0472216603711217</v>
      </c>
      <c r="R212" s="236">
        <f t="shared" si="98"/>
        <v>3.1271876523948925</v>
      </c>
    </row>
    <row r="213" spans="1:18" x14ac:dyDescent="0.25">
      <c r="B213" s="168" t="s">
        <v>306</v>
      </c>
      <c r="C213" s="237" t="s">
        <v>271</v>
      </c>
      <c r="D213" s="183">
        <f>SUM(F213:R213)</f>
        <v>953.2914326470808</v>
      </c>
      <c r="E213" s="167"/>
      <c r="F213" s="212">
        <f>'И. Д.'!$G$115/F214</f>
        <v>82.355363393040975</v>
      </c>
      <c r="G213" s="212">
        <f>'И. Д.'!$G$115/G214</f>
        <v>80.740552346118605</v>
      </c>
      <c r="H213" s="212">
        <f>'И. Д.'!$G$115/H214</f>
        <v>79.157404260900591</v>
      </c>
      <c r="I213" s="212">
        <f>'И. Д.'!$G$115/I214</f>
        <v>77.60529829500058</v>
      </c>
      <c r="J213" s="212">
        <f>'И. Д.'!$G$115/J214</f>
        <v>76.083625779412316</v>
      </c>
      <c r="K213" s="212">
        <f>'И. Д.'!$G$115/K214</f>
        <v>74.591789979815999</v>
      </c>
      <c r="L213" s="212">
        <f>'И. Д.'!$G$115/L214</f>
        <v>73.129205862564689</v>
      </c>
      <c r="M213" s="212">
        <f>'И. Д.'!$G$115/M214</f>
        <v>71.6952998652595</v>
      </c>
      <c r="N213" s="212">
        <f>'И. Д.'!$G$115/N214</f>
        <v>70.289509671823041</v>
      </c>
      <c r="O213" s="212">
        <f>'И. Д.'!$G$115/O214</f>
        <v>68.911283991983368</v>
      </c>
      <c r="P213" s="212">
        <f>'И. Д.'!$G$115/P214</f>
        <v>67.560082345081724</v>
      </c>
      <c r="Q213" s="212">
        <f>'И. Д.'!$G$115/Q214</f>
        <v>66.235374848119335</v>
      </c>
      <c r="R213" s="212">
        <f>'И. Д.'!$G$115/R214</f>
        <v>64.936642007960131</v>
      </c>
    </row>
    <row r="214" spans="1:18" ht="13.8" x14ac:dyDescent="0.3">
      <c r="B214" s="335" t="s">
        <v>401</v>
      </c>
      <c r="C214" s="336" t="s">
        <v>402</v>
      </c>
      <c r="D214" s="337">
        <f>AVERAGE(F214:R214)</f>
        <v>548.47977081311103</v>
      </c>
      <c r="E214" s="167"/>
      <c r="F214" s="338">
        <f>'Инфл. тенге'!E16</f>
        <v>485.7</v>
      </c>
      <c r="G214" s="338">
        <f>F214*(1+'цены и инфл'!E27)</f>
        <v>495.41399999999999</v>
      </c>
      <c r="H214" s="338">
        <f>G214*(1+'цены и инфл'!F27)</f>
        <v>505.32227999999998</v>
      </c>
      <c r="I214" s="338">
        <f>H214*(1+'цены и инфл'!G27)</f>
        <v>515.42872560000001</v>
      </c>
      <c r="J214" s="338">
        <f>I214*(1+'цены и инфл'!H27)</f>
        <v>525.73730011200007</v>
      </c>
      <c r="K214" s="338">
        <f>J214*(1+'цены и инфл'!I27)</f>
        <v>536.2520461142401</v>
      </c>
      <c r="L214" s="338">
        <f>K214*(1+'цены и инфл'!J27)</f>
        <v>546.97708703652495</v>
      </c>
      <c r="M214" s="338">
        <f>L214*(1+'цены и инфл'!K27)</f>
        <v>557.91662877725548</v>
      </c>
      <c r="N214" s="338">
        <f>M214*(1+'цены и инфл'!L27)</f>
        <v>569.07496135280064</v>
      </c>
      <c r="O214" s="338">
        <f>N214*(1+'цены и инфл'!M27)</f>
        <v>580.45646057985664</v>
      </c>
      <c r="P214" s="338">
        <f>O214*(1+'цены и инфл'!N27)</f>
        <v>592.06558979145382</v>
      </c>
      <c r="Q214" s="338">
        <f>P214*(1+'цены и инфл'!O27)</f>
        <v>603.90690158728296</v>
      </c>
      <c r="R214" s="338">
        <f>Q214*(1+'цены и инфл'!P27)</f>
        <v>615.98503961902861</v>
      </c>
    </row>
    <row r="215" spans="1:18" x14ac:dyDescent="0.25">
      <c r="B215" s="168" t="s">
        <v>307</v>
      </c>
      <c r="C215" s="237" t="s">
        <v>271</v>
      </c>
      <c r="D215" s="183">
        <f>SUM(F215:R215)</f>
        <v>1212.5945669704884</v>
      </c>
      <c r="E215" s="167"/>
      <c r="F215" s="212">
        <f>'И. Д.'!$G$113*F125</f>
        <v>76.907715864116099</v>
      </c>
      <c r="G215" s="212">
        <f>'И. Д.'!$G$113*G125</f>
        <v>80.623896694670194</v>
      </c>
      <c r="H215" s="212">
        <f>'И. Д.'!$G$113*H125</f>
        <v>89.517332683913054</v>
      </c>
      <c r="I215" s="212">
        <f>'И. Д.'!$G$113*I125</f>
        <v>99.460150707019068</v>
      </c>
      <c r="J215" s="212">
        <f>'И. Д.'!$G$113*J125</f>
        <v>101.44935372115945</v>
      </c>
      <c r="K215" s="212">
        <f>'И. Д.'!$G$113*K125</f>
        <v>103.47834079558265</v>
      </c>
      <c r="L215" s="212">
        <f>'И. Д.'!$G$113*L125</f>
        <v>105.54790761149431</v>
      </c>
      <c r="M215" s="212">
        <f>'И. Д.'!$G$113*M125</f>
        <v>107.65886576372421</v>
      </c>
      <c r="N215" s="212">
        <f>'И. Д.'!$G$113*N125</f>
        <v>109.81204307899867</v>
      </c>
      <c r="O215" s="212">
        <f>'И. Д.'!$G$113*O125</f>
        <v>112.00828394057865</v>
      </c>
      <c r="P215" s="212">
        <f>'И. Д.'!$G$113*P125</f>
        <v>114.24844961939023</v>
      </c>
      <c r="Q215" s="212">
        <f>'И. Д.'!$G$113*Q125</f>
        <v>62.15115659294829</v>
      </c>
      <c r="R215" s="212">
        <f>'И. Д.'!$G$113*R125</f>
        <v>49.731069896893509</v>
      </c>
    </row>
    <row r="216" spans="1:18" x14ac:dyDescent="0.25">
      <c r="B216" s="168" t="s">
        <v>308</v>
      </c>
      <c r="C216" s="237" t="s">
        <v>271</v>
      </c>
      <c r="D216" s="183">
        <f>SUM(F216:R216)</f>
        <v>1212.5945669704884</v>
      </c>
      <c r="E216" s="167"/>
      <c r="F216" s="212">
        <f>'И. Д.'!$G$112*F125</f>
        <v>76.907715864116099</v>
      </c>
      <c r="G216" s="212">
        <f>'И. Д.'!$G$112*G125</f>
        <v>80.623896694670194</v>
      </c>
      <c r="H216" s="212">
        <f>'И. Д.'!$G$112*H125</f>
        <v>89.517332683913054</v>
      </c>
      <c r="I216" s="212">
        <f>'И. Д.'!$G$112*I125</f>
        <v>99.460150707019068</v>
      </c>
      <c r="J216" s="212">
        <f>'И. Д.'!$G$112*J125</f>
        <v>101.44935372115945</v>
      </c>
      <c r="K216" s="212">
        <f>'И. Д.'!$G$112*K125</f>
        <v>103.47834079558265</v>
      </c>
      <c r="L216" s="212">
        <f>'И. Д.'!$G$112*L125</f>
        <v>105.54790761149431</v>
      </c>
      <c r="M216" s="212">
        <f>'И. Д.'!$G$112*M125</f>
        <v>107.65886576372421</v>
      </c>
      <c r="N216" s="212">
        <f>'И. Д.'!$G$112*N125</f>
        <v>109.81204307899867</v>
      </c>
      <c r="O216" s="212">
        <f>'И. Д.'!$G$112*O125</f>
        <v>112.00828394057865</v>
      </c>
      <c r="P216" s="212">
        <f>'И. Д.'!$G$112*P125</f>
        <v>114.24844961939023</v>
      </c>
      <c r="Q216" s="212">
        <f>'И. Д.'!$G$112*Q125</f>
        <v>62.15115659294829</v>
      </c>
      <c r="R216" s="212">
        <f>'И. Д.'!$G$112*R125</f>
        <v>49.731069896893509</v>
      </c>
    </row>
    <row r="217" spans="1:18" x14ac:dyDescent="0.25">
      <c r="B217" s="168" t="s">
        <v>309</v>
      </c>
      <c r="C217" s="237" t="s">
        <v>271</v>
      </c>
      <c r="D217" s="183">
        <f>SUM(F217:R217)</f>
        <v>44610.727554456018</v>
      </c>
      <c r="E217" s="167"/>
      <c r="F217" s="212">
        <f>'И. Д.'!$G$114*F110</f>
        <v>3025.7165755677056</v>
      </c>
      <c r="G217" s="212">
        <f>'И. Д.'!$G$114*G110</f>
        <v>3228.7024433193656</v>
      </c>
      <c r="H217" s="212">
        <f>'И. Д.'!$G$114*H110</f>
        <v>3467.7565697080963</v>
      </c>
      <c r="I217" s="212">
        <f>'И. Д.'!$G$114*I110</f>
        <v>3591.0157627243329</v>
      </c>
      <c r="J217" s="212">
        <f>'И. Д.'!$G$114*J110</f>
        <v>3663.0888870618301</v>
      </c>
      <c r="K217" s="212">
        <f>'И. Д.'!$G$114*K110</f>
        <v>3737.2577777250017</v>
      </c>
      <c r="L217" s="212">
        <f>'И. Д.'!$G$114*L110</f>
        <v>3812.9100462014362</v>
      </c>
      <c r="M217" s="212">
        <f>'И. Д.'!$G$114*M110</f>
        <v>3890.0753600474004</v>
      </c>
      <c r="N217" s="212">
        <f>'И. Д.'!$G$114*N110</f>
        <v>3968.7839801702835</v>
      </c>
      <c r="O217" s="212">
        <f>'И. Д.'!$G$114*O110</f>
        <v>4049.0667726956244</v>
      </c>
      <c r="P217" s="212">
        <f>'И. Д.'!$G$114*P110</f>
        <v>4130.9552210714728</v>
      </c>
      <c r="Q217" s="212">
        <f>'И. Д.'!$G$114*Q110</f>
        <v>2247.2396402628815</v>
      </c>
      <c r="R217" s="212">
        <f>'И. Д.'!$G$114*R110</f>
        <v>1798.158517900587</v>
      </c>
    </row>
    <row r="218" spans="1:18" x14ac:dyDescent="0.25">
      <c r="B218" s="568" t="s">
        <v>310</v>
      </c>
      <c r="C218" s="237" t="s">
        <v>271</v>
      </c>
      <c r="D218" s="165">
        <f>SUM(F218:R218)</f>
        <v>189850.01672753796</v>
      </c>
      <c r="E218" s="177"/>
      <c r="F218" s="165">
        <f>F219+F220+F221</f>
        <v>22816.060294517556</v>
      </c>
      <c r="G218" s="165">
        <f t="shared" ref="G218:R218" si="99">G219+G220+G221</f>
        <v>20063.252683683499</v>
      </c>
      <c r="H218" s="165">
        <f t="shared" si="99"/>
        <v>17612.454288419023</v>
      </c>
      <c r="I218" s="165">
        <f t="shared" si="99"/>
        <v>15755.548963585878</v>
      </c>
      <c r="J218" s="165">
        <f t="shared" si="99"/>
        <v>13707.3309494552</v>
      </c>
      <c r="K218" s="165">
        <f t="shared" si="99"/>
        <v>12249.355826052286</v>
      </c>
      <c r="L218" s="165">
        <f t="shared" si="99"/>
        <v>10784.737858536386</v>
      </c>
      <c r="M218" s="165">
        <f t="shared" si="99"/>
        <v>9911.4497528842439</v>
      </c>
      <c r="N218" s="165">
        <f t="shared" si="99"/>
        <v>9016.3720977817502</v>
      </c>
      <c r="O218" s="165">
        <f t="shared" si="99"/>
        <v>8219.6524654730674</v>
      </c>
      <c r="P218" s="165">
        <f t="shared" si="99"/>
        <v>7364.3309867822227</v>
      </c>
      <c r="Q218" s="165">
        <f t="shared" si="99"/>
        <v>5709.9855101309358</v>
      </c>
      <c r="R218" s="165">
        <f t="shared" si="99"/>
        <v>36639.485050235926</v>
      </c>
    </row>
    <row r="219" spans="1:18" x14ac:dyDescent="0.25">
      <c r="A219" s="250"/>
      <c r="B219" s="569" t="s">
        <v>311</v>
      </c>
      <c r="C219" s="237" t="s">
        <v>271</v>
      </c>
      <c r="D219" s="183">
        <f>'Аморт ОС'!C38</f>
        <v>156687.54734613191</v>
      </c>
      <c r="E219" s="167"/>
      <c r="F219" s="183">
        <f>'Аморт ОС'!E38</f>
        <v>21386.685796836511</v>
      </c>
      <c r="G219" s="183">
        <f>'Аморт ОС'!F38</f>
        <v>17844.266813533693</v>
      </c>
      <c r="H219" s="183">
        <f>'Аморт ОС'!G38</f>
        <v>15008.581464518153</v>
      </c>
      <c r="I219" s="183">
        <f>'Аморт ОС'!H38</f>
        <v>12718.434736376999</v>
      </c>
      <c r="J219" s="183">
        <f>'Аморт ОС'!I38</f>
        <v>10852.607575228747</v>
      </c>
      <c r="K219" s="183">
        <f>'Аморт ОС'!J38</f>
        <v>9319.3647740505912</v>
      </c>
      <c r="L219" s="183">
        <f>'Аморт ОС'!K38</f>
        <v>8048.8538589058462</v>
      </c>
      <c r="M219" s="183">
        <f>'Аморт ОС'!L38</f>
        <v>6987.5572642544848</v>
      </c>
      <c r="N219" s="183">
        <f>'Аморт ОС'!M38</f>
        <v>6094.2164111463262</v>
      </c>
      <c r="O219" s="183">
        <f>'Аморт ОС'!N38</f>
        <v>5336.8196748896444</v>
      </c>
      <c r="P219" s="183">
        <f>'Аморт ОС'!O38</f>
        <v>4690.3649506128004</v>
      </c>
      <c r="Q219" s="183">
        <f>'Аморт ОС'!P38</f>
        <v>4135.1897941514771</v>
      </c>
      <c r="R219" s="183">
        <f>D219-SUM(F219:Q219)</f>
        <v>34264.604231626639</v>
      </c>
    </row>
    <row r="220" spans="1:18" x14ac:dyDescent="0.25">
      <c r="A220" s="250"/>
      <c r="B220" s="569" t="s">
        <v>312</v>
      </c>
      <c r="C220" s="237" t="s">
        <v>271</v>
      </c>
      <c r="D220" s="183">
        <f>SUM(F220:R220)</f>
        <v>22745.199999999993</v>
      </c>
      <c r="E220" s="167"/>
      <c r="F220" s="183">
        <f>'Аморт ГКР'!F20</f>
        <v>1366.6172946185425</v>
      </c>
      <c r="G220" s="183">
        <f>'Аморт ГКР'!G20</f>
        <v>1723.2690360404306</v>
      </c>
      <c r="H220" s="183">
        <f>'Аморт ГКР'!H20</f>
        <v>1855.8281926589254</v>
      </c>
      <c r="I220" s="183">
        <f>'Аморт ГКР'!I20</f>
        <v>1988.3873492774198</v>
      </c>
      <c r="J220" s="183">
        <f>'Аморт ГКР'!J20</f>
        <v>1988.3873492774196</v>
      </c>
      <c r="K220" s="183">
        <f>'Аморт ГКР'!K20</f>
        <v>1988.3873492774196</v>
      </c>
      <c r="L220" s="183">
        <f>'Аморт ГКР'!L20</f>
        <v>1988.3873492774196</v>
      </c>
      <c r="M220" s="183">
        <f>'Аморт ГКР'!M20</f>
        <v>1988.3873492774196</v>
      </c>
      <c r="N220" s="183">
        <f>'Аморт ГКР'!N20</f>
        <v>1988.3873492774198</v>
      </c>
      <c r="O220" s="183">
        <f>'Аморт ГКР'!O20</f>
        <v>1988.3873492774194</v>
      </c>
      <c r="P220" s="183">
        <f>'Аморт ГКР'!P20</f>
        <v>1988.3873492774194</v>
      </c>
      <c r="Q220" s="183">
        <f>'Аморт ГКР'!Q20</f>
        <v>1060.4732529479572</v>
      </c>
      <c r="R220" s="183">
        <f>'Аморт ГКР'!R20</f>
        <v>831.91342951478248</v>
      </c>
    </row>
    <row r="221" spans="1:18" x14ac:dyDescent="0.25">
      <c r="A221" s="250"/>
      <c r="B221" s="569" t="s">
        <v>313</v>
      </c>
      <c r="C221" s="237" t="s">
        <v>271</v>
      </c>
      <c r="D221" s="183">
        <f>'Амор на доп обор'!D16</f>
        <v>10417.269381406064</v>
      </c>
      <c r="E221" s="167"/>
      <c r="F221" s="183">
        <f>'Амор на доп обор'!F16</f>
        <v>62.757203062499983</v>
      </c>
      <c r="G221" s="183">
        <f>'Амор на доп обор'!G16</f>
        <v>495.71683410937493</v>
      </c>
      <c r="H221" s="183">
        <f>'Амор на доп обор'!H16</f>
        <v>748.04463124194513</v>
      </c>
      <c r="I221" s="183">
        <f>'Амор на доп обор'!I16</f>
        <v>1048.7268779314588</v>
      </c>
      <c r="J221" s="183">
        <f>'Амор на доп обор'!J16</f>
        <v>866.33602494903255</v>
      </c>
      <c r="K221" s="183">
        <f>'Амор на доп обор'!K16</f>
        <v>941.6037027242744</v>
      </c>
      <c r="L221" s="183">
        <f>'Амор на доп обор'!L16</f>
        <v>747.49665035311966</v>
      </c>
      <c r="M221" s="183">
        <f>'Амор на доп обор'!M16</f>
        <v>935.50513935233971</v>
      </c>
      <c r="N221" s="183">
        <f>'Амор на доп обор'!N16</f>
        <v>933.76833735800483</v>
      </c>
      <c r="O221" s="183">
        <f>'Амор на доп обор'!O16</f>
        <v>894.44544130600366</v>
      </c>
      <c r="P221" s="183">
        <f>'Амор на доп обор'!P16</f>
        <v>685.57868689200268</v>
      </c>
      <c r="Q221" s="183">
        <f>'Амор на доп обор'!Q16</f>
        <v>514.32246303150202</v>
      </c>
      <c r="R221" s="183">
        <f>D221-SUM(F221:Q221)</f>
        <v>1542.9673890945051</v>
      </c>
    </row>
    <row r="222" spans="1:18" x14ac:dyDescent="0.25">
      <c r="B222" s="251" t="s">
        <v>314</v>
      </c>
      <c r="C222" s="235" t="s">
        <v>271</v>
      </c>
      <c r="D222" s="165">
        <f>SUM(F222:R222)</f>
        <v>3377832.8795065279</v>
      </c>
      <c r="E222" s="177"/>
      <c r="F222" s="252">
        <f t="shared" ref="F222:R222" si="100">F125+F140+F176+F178+F218</f>
        <v>228942.93911638763</v>
      </c>
      <c r="G222" s="252">
        <f t="shared" si="100"/>
        <v>236159.7038526845</v>
      </c>
      <c r="H222" s="252">
        <f t="shared" si="100"/>
        <v>255984.32014074179</v>
      </c>
      <c r="I222" s="252">
        <f t="shared" si="100"/>
        <v>276447.89986206457</v>
      </c>
      <c r="J222" s="252">
        <f t="shared" si="100"/>
        <v>279470.17879874213</v>
      </c>
      <c r="K222" s="252">
        <f t="shared" si="100"/>
        <v>283198.87804894516</v>
      </c>
      <c r="L222" s="252">
        <f t="shared" si="100"/>
        <v>287037.37464970426</v>
      </c>
      <c r="M222" s="252">
        <f t="shared" si="100"/>
        <v>291584.70419041376</v>
      </c>
      <c r="N222" s="252">
        <f t="shared" si="100"/>
        <v>296228.95789975079</v>
      </c>
      <c r="O222" s="252">
        <f t="shared" si="100"/>
        <v>301091.63205359224</v>
      </c>
      <c r="P222" s="252">
        <f t="shared" si="100"/>
        <v>306017.24492801476</v>
      </c>
      <c r="Q222" s="252">
        <f t="shared" si="100"/>
        <v>168572.40842046085</v>
      </c>
      <c r="R222" s="252">
        <f t="shared" si="100"/>
        <v>167096.63754502553</v>
      </c>
    </row>
    <row r="223" spans="1:18" x14ac:dyDescent="0.25">
      <c r="B223" s="251" t="s">
        <v>315</v>
      </c>
      <c r="C223" s="253" t="s">
        <v>269</v>
      </c>
      <c r="D223" s="165">
        <f>D222/D22</f>
        <v>194.37879577509202</v>
      </c>
      <c r="E223" s="165"/>
      <c r="F223" s="165">
        <f t="shared" ref="F223:R223" si="101">F222/F22</f>
        <v>183.1543512931101</v>
      </c>
      <c r="G223" s="165">
        <f t="shared" si="101"/>
        <v>181.66131065591117</v>
      </c>
      <c r="H223" s="165">
        <f t="shared" si="101"/>
        <v>182.84594295767272</v>
      </c>
      <c r="I223" s="165">
        <f t="shared" si="101"/>
        <v>184.29859990804306</v>
      </c>
      <c r="J223" s="165">
        <f t="shared" si="101"/>
        <v>186.31345253249475</v>
      </c>
      <c r="K223" s="165">
        <f t="shared" si="101"/>
        <v>188.79925203263011</v>
      </c>
      <c r="L223" s="165">
        <f t="shared" si="101"/>
        <v>191.3582497664695</v>
      </c>
      <c r="M223" s="165">
        <f t="shared" si="101"/>
        <v>194.38980279360916</v>
      </c>
      <c r="N223" s="165">
        <f t="shared" si="101"/>
        <v>197.48597193316721</v>
      </c>
      <c r="O223" s="165">
        <f t="shared" si="101"/>
        <v>200.72775470239483</v>
      </c>
      <c r="P223" s="165">
        <f t="shared" si="101"/>
        <v>204.01149661867652</v>
      </c>
      <c r="Q223" s="165">
        <f t="shared" si="101"/>
        <v>210.71551052557606</v>
      </c>
      <c r="R223" s="165">
        <f t="shared" si="101"/>
        <v>266.25594155480911</v>
      </c>
    </row>
    <row r="224" spans="1:18" ht="26.4" x14ac:dyDescent="0.25">
      <c r="B224" s="254" t="s">
        <v>316</v>
      </c>
      <c r="C224" s="245" t="s">
        <v>271</v>
      </c>
      <c r="D224" s="255">
        <f t="shared" ref="D224:D230" si="102">SUM(E224:R224)</f>
        <v>1273089.8926666118</v>
      </c>
      <c r="E224" s="255"/>
      <c r="F224" s="255">
        <f t="shared" ref="F224:R224" si="103">F110-F222+F218</f>
        <v>96444.778734900465</v>
      </c>
      <c r="G224" s="255">
        <f t="shared" si="103"/>
        <v>106773.79316293553</v>
      </c>
      <c r="H224" s="255">
        <f t="shared" si="103"/>
        <v>108403.79111848684</v>
      </c>
      <c r="I224" s="255">
        <f t="shared" si="103"/>
        <v>98409.225373954585</v>
      </c>
      <c r="J224" s="255">
        <f t="shared" si="103"/>
        <v>100546.04085689607</v>
      </c>
      <c r="K224" s="255">
        <f t="shared" si="103"/>
        <v>102776.2555496073</v>
      </c>
      <c r="L224" s="255">
        <f t="shared" si="103"/>
        <v>105038.36782897575</v>
      </c>
      <c r="M224" s="255">
        <f t="shared" si="103"/>
        <v>107334.28156721054</v>
      </c>
      <c r="N224" s="255">
        <f t="shared" si="103"/>
        <v>109665.8122150593</v>
      </c>
      <c r="O224" s="255">
        <f t="shared" si="103"/>
        <v>112034.69768144327</v>
      </c>
      <c r="P224" s="255">
        <f t="shared" si="103"/>
        <v>114442.60816591473</v>
      </c>
      <c r="Q224" s="255">
        <f t="shared" si="103"/>
        <v>61861.541115958215</v>
      </c>
      <c r="R224" s="255">
        <f t="shared" si="103"/>
        <v>49358.699295269085</v>
      </c>
    </row>
    <row r="225" spans="1:18" x14ac:dyDescent="0.25">
      <c r="B225" s="244" t="s">
        <v>317</v>
      </c>
      <c r="C225" s="237" t="s">
        <v>271</v>
      </c>
      <c r="D225" s="255">
        <f t="shared" si="102"/>
        <v>1083239.875939074</v>
      </c>
      <c r="E225" s="255"/>
      <c r="F225" s="255">
        <f t="shared" ref="F225:R225" si="104">F110-F222</f>
        <v>73628.718440382916</v>
      </c>
      <c r="G225" s="255">
        <f t="shared" si="104"/>
        <v>86710.540479252028</v>
      </c>
      <c r="H225" s="255">
        <f t="shared" si="104"/>
        <v>90791.336830067827</v>
      </c>
      <c r="I225" s="255">
        <f t="shared" si="104"/>
        <v>82653.676410368702</v>
      </c>
      <c r="J225" s="255">
        <f t="shared" si="104"/>
        <v>86838.709907440876</v>
      </c>
      <c r="K225" s="255">
        <f t="shared" si="104"/>
        <v>90526.89972355502</v>
      </c>
      <c r="L225" s="255">
        <f t="shared" si="104"/>
        <v>94253.62997043936</v>
      </c>
      <c r="M225" s="255">
        <f t="shared" si="104"/>
        <v>97422.831814326288</v>
      </c>
      <c r="N225" s="255">
        <f t="shared" si="104"/>
        <v>100649.44011727755</v>
      </c>
      <c r="O225" s="255">
        <f t="shared" si="104"/>
        <v>103815.0452159702</v>
      </c>
      <c r="P225" s="255">
        <f t="shared" si="104"/>
        <v>107078.27717913251</v>
      </c>
      <c r="Q225" s="255">
        <f t="shared" si="104"/>
        <v>56151.555605827278</v>
      </c>
      <c r="R225" s="255">
        <f t="shared" si="104"/>
        <v>12719.214245033159</v>
      </c>
    </row>
    <row r="226" spans="1:18" ht="26.4" x14ac:dyDescent="0.25">
      <c r="B226" s="239" t="s">
        <v>318</v>
      </c>
      <c r="C226" s="237" t="s">
        <v>271</v>
      </c>
      <c r="D226" s="255">
        <f t="shared" si="102"/>
        <v>1083239.875939074</v>
      </c>
      <c r="E226" s="255"/>
      <c r="F226" s="255">
        <f>F225</f>
        <v>73628.718440382916</v>
      </c>
      <c r="G226" s="255">
        <f t="shared" ref="G226:R226" si="105">G225</f>
        <v>86710.540479252028</v>
      </c>
      <c r="H226" s="255">
        <f t="shared" si="105"/>
        <v>90791.336830067827</v>
      </c>
      <c r="I226" s="255">
        <f t="shared" si="105"/>
        <v>82653.676410368702</v>
      </c>
      <c r="J226" s="255">
        <f t="shared" si="105"/>
        <v>86838.709907440876</v>
      </c>
      <c r="K226" s="255">
        <f t="shared" si="105"/>
        <v>90526.89972355502</v>
      </c>
      <c r="L226" s="255">
        <f t="shared" si="105"/>
        <v>94253.62997043936</v>
      </c>
      <c r="M226" s="255">
        <f t="shared" si="105"/>
        <v>97422.831814326288</v>
      </c>
      <c r="N226" s="255">
        <f t="shared" si="105"/>
        <v>100649.44011727755</v>
      </c>
      <c r="O226" s="255">
        <f t="shared" si="105"/>
        <v>103815.0452159702</v>
      </c>
      <c r="P226" s="255">
        <f t="shared" si="105"/>
        <v>107078.27717913251</v>
      </c>
      <c r="Q226" s="255">
        <f t="shared" si="105"/>
        <v>56151.555605827278</v>
      </c>
      <c r="R226" s="255">
        <f t="shared" si="105"/>
        <v>12719.214245033159</v>
      </c>
    </row>
    <row r="227" spans="1:18" x14ac:dyDescent="0.25">
      <c r="B227" s="244" t="s">
        <v>319</v>
      </c>
      <c r="C227" s="237" t="s">
        <v>271</v>
      </c>
      <c r="D227" s="255">
        <f t="shared" si="102"/>
        <v>216649</v>
      </c>
      <c r="E227" s="255"/>
      <c r="F227" s="255">
        <f>ROUND(IF((F226)&lt;0,0,20%*(F226)),0)</f>
        <v>14726</v>
      </c>
      <c r="G227" s="255">
        <f t="shared" ref="G227:R227" si="106">ROUND(IF((G226)&lt;0,0,20%*(G226)),0)</f>
        <v>17342</v>
      </c>
      <c r="H227" s="255">
        <f t="shared" si="106"/>
        <v>18158</v>
      </c>
      <c r="I227" s="255">
        <f t="shared" si="106"/>
        <v>16531</v>
      </c>
      <c r="J227" s="255">
        <f t="shared" si="106"/>
        <v>17368</v>
      </c>
      <c r="K227" s="255">
        <f t="shared" si="106"/>
        <v>18105</v>
      </c>
      <c r="L227" s="255">
        <f t="shared" si="106"/>
        <v>18851</v>
      </c>
      <c r="M227" s="255">
        <f t="shared" si="106"/>
        <v>19485</v>
      </c>
      <c r="N227" s="255">
        <f t="shared" si="106"/>
        <v>20130</v>
      </c>
      <c r="O227" s="255">
        <f t="shared" si="106"/>
        <v>20763</v>
      </c>
      <c r="P227" s="255">
        <f t="shared" si="106"/>
        <v>21416</v>
      </c>
      <c r="Q227" s="255">
        <f t="shared" si="106"/>
        <v>11230</v>
      </c>
      <c r="R227" s="255">
        <f t="shared" si="106"/>
        <v>2544</v>
      </c>
    </row>
    <row r="228" spans="1:18" x14ac:dyDescent="0.25">
      <c r="A228" s="250"/>
      <c r="B228" s="251" t="s">
        <v>320</v>
      </c>
      <c r="C228" s="237" t="s">
        <v>271</v>
      </c>
      <c r="D228" s="255">
        <f t="shared" si="102"/>
        <v>866590.87593907351</v>
      </c>
      <c r="E228" s="256"/>
      <c r="F228" s="256">
        <f>F225-F227</f>
        <v>58902.718440382916</v>
      </c>
      <c r="G228" s="256">
        <f t="shared" ref="G228:R228" si="107">G225-G227</f>
        <v>69368.540479252028</v>
      </c>
      <c r="H228" s="256">
        <f t="shared" si="107"/>
        <v>72633.336830067827</v>
      </c>
      <c r="I228" s="256">
        <f t="shared" si="107"/>
        <v>66122.676410368702</v>
      </c>
      <c r="J228" s="256">
        <f t="shared" si="107"/>
        <v>69470.709907440876</v>
      </c>
      <c r="K228" s="256">
        <f t="shared" si="107"/>
        <v>72421.89972355502</v>
      </c>
      <c r="L228" s="256">
        <f t="shared" si="107"/>
        <v>75402.62997043936</v>
      </c>
      <c r="M228" s="256">
        <f t="shared" si="107"/>
        <v>77937.831814326288</v>
      </c>
      <c r="N228" s="256">
        <f t="shared" si="107"/>
        <v>80519.440117277554</v>
      </c>
      <c r="O228" s="256">
        <f t="shared" si="107"/>
        <v>83052.045215970196</v>
      </c>
      <c r="P228" s="256">
        <f t="shared" si="107"/>
        <v>85662.277179132507</v>
      </c>
      <c r="Q228" s="256">
        <f t="shared" si="107"/>
        <v>44921.555605827278</v>
      </c>
      <c r="R228" s="256">
        <f t="shared" si="107"/>
        <v>10175.214245033159</v>
      </c>
    </row>
    <row r="229" spans="1:18" x14ac:dyDescent="0.25">
      <c r="A229" s="250"/>
      <c r="B229" s="251" t="s">
        <v>321</v>
      </c>
      <c r="C229" s="237" t="s">
        <v>271</v>
      </c>
      <c r="D229" s="255">
        <f t="shared" si="102"/>
        <v>-190177.89845253801</v>
      </c>
      <c r="E229" s="255">
        <f>E230+E237</f>
        <v>-202804.01689440949</v>
      </c>
      <c r="F229" s="255">
        <f t="shared" ref="F229:R229" si="108">F230+F237</f>
        <v>-20693.181759509371</v>
      </c>
      <c r="G229" s="255">
        <f t="shared" si="108"/>
        <v>-9505.9189848614587</v>
      </c>
      <c r="H229" s="255">
        <f t="shared" si="108"/>
        <v>-5597.7439669042114</v>
      </c>
      <c r="I229" s="255">
        <f t="shared" si="108"/>
        <v>-2555.2294053355108</v>
      </c>
      <c r="J229" s="255">
        <f t="shared" si="108"/>
        <v>-1064.9033160423601</v>
      </c>
      <c r="K229" s="255">
        <f t="shared" si="108"/>
        <v>-1935.1060562018197</v>
      </c>
      <c r="L229" s="255">
        <f t="shared" si="108"/>
        <v>-1074.6414013815556</v>
      </c>
      <c r="M229" s="255">
        <f t="shared" si="108"/>
        <v>-2428.3813482174069</v>
      </c>
      <c r="N229" s="255">
        <f t="shared" si="108"/>
        <v>-1901.09276214329</v>
      </c>
      <c r="O229" s="255">
        <f t="shared" si="108"/>
        <v>-1761.5993280345026</v>
      </c>
      <c r="P229" s="255">
        <f t="shared" si="108"/>
        <v>27429.988877860782</v>
      </c>
      <c r="Q229" s="255">
        <f t="shared" si="108"/>
        <v>294.60038363706451</v>
      </c>
      <c r="R229" s="255">
        <f t="shared" si="108"/>
        <v>33419.32750900511</v>
      </c>
    </row>
    <row r="230" spans="1:18" x14ac:dyDescent="0.25">
      <c r="A230" s="164"/>
      <c r="B230" s="251" t="s">
        <v>322</v>
      </c>
      <c r="C230" s="237" t="s">
        <v>271</v>
      </c>
      <c r="D230" s="255">
        <f t="shared" si="102"/>
        <v>-190177.89845253798</v>
      </c>
      <c r="E230" s="255">
        <f>E234+E233+E235+E236</f>
        <v>-157015.42907113195</v>
      </c>
      <c r="F230" s="255">
        <f t="shared" ref="F230:R230" si="109">F234+F233+F235</f>
        <v>-19249.828812249998</v>
      </c>
      <c r="G230" s="255">
        <f t="shared" si="109"/>
        <v>-5540.9957272499996</v>
      </c>
      <c r="H230" s="255">
        <f t="shared" si="109"/>
        <v>-1505.0280226396558</v>
      </c>
      <c r="I230" s="255">
        <f t="shared" si="109"/>
        <v>-1950.7736179999999</v>
      </c>
      <c r="J230" s="255">
        <f t="shared" si="109"/>
        <v>-319.16346600175336</v>
      </c>
      <c r="K230" s="255">
        <f t="shared" si="109"/>
        <v>-1167.4067360499998</v>
      </c>
      <c r="L230" s="255">
        <f t="shared" si="109"/>
        <v>-165.17549323965565</v>
      </c>
      <c r="M230" s="255">
        <f t="shared" si="109"/>
        <v>-1499.53060635</v>
      </c>
      <c r="N230" s="255">
        <f t="shared" si="109"/>
        <v>-928.55793137499995</v>
      </c>
      <c r="O230" s="255">
        <f t="shared" si="109"/>
        <v>-776.47675314999992</v>
      </c>
      <c r="P230" s="255">
        <f t="shared" si="109"/>
        <v>-58.978423649999996</v>
      </c>
      <c r="Q230" s="255">
        <f t="shared" si="109"/>
        <v>-0.55379144999999996</v>
      </c>
      <c r="R230" s="255">
        <f t="shared" si="109"/>
        <v>0</v>
      </c>
    </row>
    <row r="231" spans="1:18" x14ac:dyDescent="0.25">
      <c r="A231" s="164"/>
      <c r="B231" s="251" t="s">
        <v>323</v>
      </c>
      <c r="C231" s="253" t="s">
        <v>269</v>
      </c>
      <c r="D231" s="255">
        <f>D230/D22</f>
        <v>-10.943866142259401</v>
      </c>
      <c r="E231" s="255"/>
      <c r="F231" s="255"/>
      <c r="G231" s="255"/>
      <c r="H231" s="255"/>
      <c r="I231" s="255"/>
      <c r="J231" s="255"/>
      <c r="K231" s="255"/>
      <c r="L231" s="255"/>
      <c r="M231" s="257"/>
      <c r="N231" s="257"/>
      <c r="O231" s="257"/>
      <c r="P231" s="257"/>
      <c r="Q231" s="257"/>
      <c r="R231" s="257"/>
    </row>
    <row r="232" spans="1:18" x14ac:dyDescent="0.25">
      <c r="A232" s="164"/>
      <c r="B232" s="244" t="s">
        <v>272</v>
      </c>
      <c r="C232" s="237"/>
      <c r="D232" s="258"/>
      <c r="E232" s="258"/>
      <c r="F232" s="255"/>
      <c r="G232" s="255"/>
      <c r="H232" s="255"/>
      <c r="I232" s="255"/>
      <c r="J232" s="255"/>
      <c r="K232" s="255"/>
      <c r="L232" s="255"/>
      <c r="M232" s="257"/>
      <c r="N232" s="257"/>
      <c r="O232" s="257"/>
      <c r="P232" s="257"/>
      <c r="Q232" s="257"/>
      <c r="R232" s="257"/>
    </row>
    <row r="233" spans="1:18" x14ac:dyDescent="0.25">
      <c r="A233" s="164"/>
      <c r="B233" s="248" t="s">
        <v>59</v>
      </c>
      <c r="C233" s="237" t="s">
        <v>271</v>
      </c>
      <c r="D233" s="255">
        <f t="shared" ref="D233:D238" si="110">SUM(E233:R233)</f>
        <v>-22745.199999999997</v>
      </c>
      <c r="E233" s="255"/>
      <c r="F233" s="255">
        <f>-F94*'И. Д.'!$G$85</f>
        <v>-18998.8</v>
      </c>
      <c r="G233" s="255">
        <f>-G94*'И. Д.'!$G$85</f>
        <v>-3746.3999999999996</v>
      </c>
      <c r="H233" s="255">
        <f>-H94*'И. Д.'!$G$85</f>
        <v>0</v>
      </c>
      <c r="I233" s="255">
        <f>-I94*'И. Д.'!$G$85</f>
        <v>0</v>
      </c>
      <c r="J233" s="255">
        <f>-J94*'И. Д.'!$G$85</f>
        <v>0</v>
      </c>
      <c r="K233" s="255">
        <f>-K94*'И. Д.'!I85</f>
        <v>0</v>
      </c>
      <c r="L233" s="255">
        <f>-L94*'И. Д.'!J85</f>
        <v>0</v>
      </c>
      <c r="M233" s="255">
        <f>-M94*'И. Д.'!K85</f>
        <v>0</v>
      </c>
      <c r="N233" s="255">
        <f>-N94*'И. Д.'!L85</f>
        <v>0</v>
      </c>
      <c r="O233" s="255">
        <f>-O94*'И. Д.'!M85</f>
        <v>0</v>
      </c>
      <c r="P233" s="255">
        <f>-P94*'И. Д.'!N85</f>
        <v>0</v>
      </c>
      <c r="Q233" s="255">
        <f>-Q94*'И. Д.'!O85</f>
        <v>0</v>
      </c>
      <c r="R233" s="255">
        <f>-R94*'И. Д.'!P85</f>
        <v>0</v>
      </c>
    </row>
    <row r="234" spans="1:18" x14ac:dyDescent="0.25">
      <c r="B234" s="244" t="s">
        <v>324</v>
      </c>
      <c r="C234" s="237" t="s">
        <v>271</v>
      </c>
      <c r="D234" s="255">
        <f t="shared" si="110"/>
        <v>-8769.0629314060643</v>
      </c>
      <c r="E234" s="255"/>
      <c r="F234" s="255">
        <f>-('Обнов об.1 оч'!H39+'Обнов обор 2 оч'!H55)</f>
        <v>-3.7978447499999994</v>
      </c>
      <c r="G234" s="255">
        <f>-('Обнов об.1 оч'!I39+'Обнов обор 2 оч'!I55)</f>
        <v>-393.62024474999998</v>
      </c>
      <c r="H234" s="255">
        <f>-('Обнов об.1 оч'!J39+'Обнов обор 2 оч'!J55)</f>
        <v>-1505.0280226396558</v>
      </c>
      <c r="I234" s="255">
        <f>-('Обнов об.1 оч'!K39+'Обнов обор 2 оч'!K55)</f>
        <v>-1950.7736179999999</v>
      </c>
      <c r="J234" s="255">
        <f>-('Обнов об.1 оч'!L39+'Обнов обор 2 оч'!L55)</f>
        <v>-319.16346600175336</v>
      </c>
      <c r="K234" s="255">
        <f>-('Обнов об.1 оч'!M39+'Обнов обор 2 оч'!M55)</f>
        <v>-1167.4067360499998</v>
      </c>
      <c r="L234" s="255">
        <f>-('Обнов об.1 оч'!N39+'Обнов обор 2 оч'!N55)</f>
        <v>-165.17549323965565</v>
      </c>
      <c r="M234" s="255">
        <f>-('Обнов об.1 оч'!O39+'Обнов обор 2 оч'!O55)</f>
        <v>-1499.53060635</v>
      </c>
      <c r="N234" s="255">
        <f>-('Обнов об.1 оч'!P39+'Обнов обор 2 оч'!P55)</f>
        <v>-928.55793137499995</v>
      </c>
      <c r="O234" s="255">
        <f>-('Обнов об.1 оч'!Q39+'Обнов обор 2 оч'!Q55)</f>
        <v>-776.47675314999992</v>
      </c>
      <c r="P234" s="255">
        <f>-('Обнов об.1 оч'!R39+'Обнов обор 2 оч'!R55)</f>
        <v>-58.978423649999996</v>
      </c>
      <c r="Q234" s="255">
        <f>-('Обнов об.1 оч'!S39+'Обнов обор 2 оч'!S55)</f>
        <v>-0.55379144999999996</v>
      </c>
      <c r="R234" s="255"/>
    </row>
    <row r="235" spans="1:18" x14ac:dyDescent="0.25">
      <c r="B235" s="248" t="s">
        <v>521</v>
      </c>
      <c r="C235" s="237" t="s">
        <v>271</v>
      </c>
      <c r="D235" s="255">
        <f t="shared" si="110"/>
        <v>-1976.0881749999999</v>
      </c>
      <c r="E235" s="255">
        <f>-ПИР!G12</f>
        <v>-327.88172500000002</v>
      </c>
      <c r="F235" s="255">
        <f>-'Амор на доп обор'!F11</f>
        <v>-247.23096749999993</v>
      </c>
      <c r="G235" s="255">
        <f>-'Амор на доп обор'!G11</f>
        <v>-1400.9754824999998</v>
      </c>
      <c r="H235" s="255">
        <f>-H99*100/1000</f>
        <v>0</v>
      </c>
      <c r="I235" s="255">
        <f>-I99*100/1000</f>
        <v>0</v>
      </c>
      <c r="J235" s="255">
        <f>-J99*100/1000</f>
        <v>0</v>
      </c>
      <c r="K235" s="255">
        <f>-K99*100/1000</f>
        <v>0</v>
      </c>
      <c r="L235" s="255">
        <f>-L99*100/1000</f>
        <v>0</v>
      </c>
      <c r="M235" s="257"/>
      <c r="N235" s="257"/>
      <c r="O235" s="257"/>
      <c r="P235" s="257"/>
      <c r="Q235" s="257"/>
      <c r="R235" s="257"/>
    </row>
    <row r="236" spans="1:18" ht="26.4" x14ac:dyDescent="0.25">
      <c r="B236" s="248" t="s">
        <v>325</v>
      </c>
      <c r="C236" s="237" t="s">
        <v>271</v>
      </c>
      <c r="D236" s="255">
        <f t="shared" si="110"/>
        <v>-156687.54734613193</v>
      </c>
      <c r="E236" s="255">
        <f>-ОС!I8</f>
        <v>-156687.54734613193</v>
      </c>
      <c r="F236" s="255"/>
      <c r="G236" s="259"/>
      <c r="H236" s="259"/>
      <c r="I236" s="259"/>
      <c r="J236" s="259"/>
      <c r="K236" s="259"/>
      <c r="L236" s="259"/>
      <c r="M236" s="257"/>
      <c r="N236" s="257"/>
      <c r="O236" s="257"/>
      <c r="P236" s="257"/>
      <c r="Q236" s="257"/>
      <c r="R236" s="257"/>
    </row>
    <row r="237" spans="1:18" x14ac:dyDescent="0.25">
      <c r="B237" s="244" t="s">
        <v>60</v>
      </c>
      <c r="C237" s="246" t="s">
        <v>271</v>
      </c>
      <c r="D237" s="255">
        <f t="shared" si="110"/>
        <v>0</v>
      </c>
      <c r="E237" s="259">
        <f>-20%*F222</f>
        <v>-45788.587823277529</v>
      </c>
      <c r="F237" s="259">
        <f t="shared" ref="F237:R237" si="111">-20%*(G222-F222)</f>
        <v>-1443.3529472593743</v>
      </c>
      <c r="G237" s="259">
        <f t="shared" si="111"/>
        <v>-3964.9232576114591</v>
      </c>
      <c r="H237" s="259">
        <f t="shared" si="111"/>
        <v>-4092.7159442645557</v>
      </c>
      <c r="I237" s="259">
        <f t="shared" si="111"/>
        <v>-604.45578733551088</v>
      </c>
      <c r="J237" s="259">
        <f t="shared" si="111"/>
        <v>-745.73985004060671</v>
      </c>
      <c r="K237" s="259">
        <f t="shared" si="111"/>
        <v>-767.69932015181985</v>
      </c>
      <c r="L237" s="259">
        <f t="shared" si="111"/>
        <v>-909.46590814189994</v>
      </c>
      <c r="M237" s="259">
        <f t="shared" si="111"/>
        <v>-928.85074186740678</v>
      </c>
      <c r="N237" s="259">
        <f t="shared" si="111"/>
        <v>-972.53483076829002</v>
      </c>
      <c r="O237" s="259">
        <f t="shared" si="111"/>
        <v>-985.12257488450268</v>
      </c>
      <c r="P237" s="259">
        <f t="shared" si="111"/>
        <v>27488.967301510784</v>
      </c>
      <c r="Q237" s="259">
        <f t="shared" si="111"/>
        <v>295.15417508706452</v>
      </c>
      <c r="R237" s="259">
        <f t="shared" si="111"/>
        <v>33419.32750900511</v>
      </c>
    </row>
    <row r="238" spans="1:18" x14ac:dyDescent="0.25">
      <c r="A238" s="250"/>
      <c r="B238" s="251" t="s">
        <v>326</v>
      </c>
      <c r="C238" s="253" t="s">
        <v>271</v>
      </c>
      <c r="D238" s="255">
        <f t="shared" si="110"/>
        <v>866262.99421407352</v>
      </c>
      <c r="E238" s="255">
        <f>E228+E229+E218</f>
        <v>-202804.01689440949</v>
      </c>
      <c r="F238" s="255">
        <f t="shared" ref="F238:R238" si="112">F228+F229+F218</f>
        <v>61025.596975391098</v>
      </c>
      <c r="G238" s="255">
        <f t="shared" si="112"/>
        <v>79925.874178074067</v>
      </c>
      <c r="H238" s="255">
        <f t="shared" si="112"/>
        <v>84648.047151582636</v>
      </c>
      <c r="I238" s="255">
        <f t="shared" si="112"/>
        <v>79322.99596861907</v>
      </c>
      <c r="J238" s="255">
        <f t="shared" si="112"/>
        <v>82113.137540853713</v>
      </c>
      <c r="K238" s="255">
        <f t="shared" si="112"/>
        <v>82736.149493405479</v>
      </c>
      <c r="L238" s="255">
        <f t="shared" si="112"/>
        <v>85112.7264275942</v>
      </c>
      <c r="M238" s="255">
        <f t="shared" si="112"/>
        <v>85420.900218993134</v>
      </c>
      <c r="N238" s="255">
        <f t="shared" si="112"/>
        <v>87634.719452916004</v>
      </c>
      <c r="O238" s="255">
        <f t="shared" si="112"/>
        <v>89510.098353408772</v>
      </c>
      <c r="P238" s="255">
        <f t="shared" si="112"/>
        <v>120456.59704377552</v>
      </c>
      <c r="Q238" s="255">
        <f t="shared" si="112"/>
        <v>50926.14149959528</v>
      </c>
      <c r="R238" s="255">
        <f t="shared" si="112"/>
        <v>80234.026804274195</v>
      </c>
    </row>
    <row r="239" spans="1:18" x14ac:dyDescent="0.25">
      <c r="B239" s="251" t="s">
        <v>327</v>
      </c>
      <c r="C239" s="237" t="s">
        <v>271</v>
      </c>
      <c r="D239" s="260"/>
      <c r="E239" s="261">
        <f>E238</f>
        <v>-202804.01689440949</v>
      </c>
      <c r="F239" s="261">
        <f t="shared" ref="F239:R239" si="113">E239+F238</f>
        <v>-141778.4199190184</v>
      </c>
      <c r="G239" s="261">
        <f t="shared" si="113"/>
        <v>-61852.545740944333</v>
      </c>
      <c r="H239" s="261">
        <f t="shared" si="113"/>
        <v>22795.501410638302</v>
      </c>
      <c r="I239" s="261">
        <f t="shared" si="113"/>
        <v>102118.49737925737</v>
      </c>
      <c r="J239" s="261">
        <f t="shared" si="113"/>
        <v>184231.6349201111</v>
      </c>
      <c r="K239" s="261">
        <f t="shared" si="113"/>
        <v>266967.78441351658</v>
      </c>
      <c r="L239" s="261">
        <f t="shared" si="113"/>
        <v>352080.51084111078</v>
      </c>
      <c r="M239" s="261">
        <f t="shared" si="113"/>
        <v>437501.41106010391</v>
      </c>
      <c r="N239" s="261">
        <f t="shared" si="113"/>
        <v>525136.13051301986</v>
      </c>
      <c r="O239" s="261">
        <f t="shared" si="113"/>
        <v>614646.2288664286</v>
      </c>
      <c r="P239" s="261">
        <f t="shared" si="113"/>
        <v>735102.82591020409</v>
      </c>
      <c r="Q239" s="261">
        <f t="shared" si="113"/>
        <v>786028.96740979934</v>
      </c>
      <c r="R239" s="261">
        <f t="shared" si="113"/>
        <v>866262.99421407352</v>
      </c>
    </row>
    <row r="240" spans="1:18" x14ac:dyDescent="0.25">
      <c r="B240" s="262" t="s">
        <v>328</v>
      </c>
      <c r="C240" s="237"/>
      <c r="D240" s="263"/>
      <c r="E240" s="263"/>
      <c r="F240" s="263"/>
      <c r="G240" s="263"/>
      <c r="H240" s="263"/>
      <c r="I240" s="263"/>
      <c r="J240" s="263"/>
      <c r="K240" s="263"/>
      <c r="L240" s="255"/>
      <c r="M240" s="257"/>
      <c r="N240" s="257"/>
      <c r="O240" s="257"/>
      <c r="P240" s="257"/>
      <c r="Q240" s="257"/>
      <c r="R240" s="257"/>
    </row>
    <row r="241" spans="2:18" x14ac:dyDescent="0.25">
      <c r="B241" s="264" t="s">
        <v>329</v>
      </c>
      <c r="C241" s="237" t="s">
        <v>271</v>
      </c>
      <c r="D241" s="255">
        <f>NPV(5%,E238:R238)</f>
        <v>536524.363048292</v>
      </c>
      <c r="E241" s="260"/>
      <c r="F241" s="255"/>
      <c r="G241" s="255"/>
      <c r="H241" s="255"/>
      <c r="I241" s="255"/>
      <c r="J241" s="255"/>
      <c r="K241" s="255"/>
      <c r="L241" s="255"/>
      <c r="M241" s="257"/>
      <c r="N241" s="257"/>
      <c r="O241" s="257"/>
      <c r="P241" s="257"/>
      <c r="Q241" s="257"/>
      <c r="R241" s="257"/>
    </row>
    <row r="242" spans="2:18" x14ac:dyDescent="0.25">
      <c r="B242" s="264" t="s">
        <v>330</v>
      </c>
      <c r="C242" s="237" t="s">
        <v>271</v>
      </c>
      <c r="D242" s="255">
        <f>NPV(10%,E238:R238)</f>
        <v>337346.16575819027</v>
      </c>
      <c r="E242" s="265"/>
      <c r="F242" s="266"/>
      <c r="G242" s="266"/>
      <c r="H242" s="266"/>
      <c r="I242" s="266"/>
      <c r="J242" s="266"/>
      <c r="K242" s="266"/>
      <c r="L242" s="255"/>
      <c r="M242" s="257"/>
      <c r="N242" s="257"/>
      <c r="O242" s="257"/>
      <c r="P242" s="257"/>
      <c r="Q242" s="257"/>
      <c r="R242" s="257"/>
    </row>
    <row r="243" spans="2:18" x14ac:dyDescent="0.25">
      <c r="B243" s="264" t="s">
        <v>531</v>
      </c>
      <c r="C243" s="237" t="s">
        <v>271</v>
      </c>
      <c r="D243" s="255">
        <f>NPV(15%,E238:R238)</f>
        <v>211921.55375152105</v>
      </c>
      <c r="E243" s="260"/>
      <c r="F243" s="255"/>
      <c r="G243" s="255"/>
      <c r="H243" s="255"/>
      <c r="I243" s="255"/>
      <c r="J243" s="255"/>
      <c r="K243" s="255"/>
      <c r="L243" s="255"/>
      <c r="M243" s="257"/>
      <c r="N243" s="257"/>
      <c r="O243" s="257"/>
      <c r="P243" s="257"/>
      <c r="Q243" s="257"/>
      <c r="R243" s="257"/>
    </row>
    <row r="244" spans="2:18" x14ac:dyDescent="0.25">
      <c r="B244" s="264" t="s">
        <v>331</v>
      </c>
      <c r="C244" s="237" t="s">
        <v>271</v>
      </c>
      <c r="D244" s="255">
        <f>NPV(20%,E238:R238)</f>
        <v>129987.55775796162</v>
      </c>
      <c r="E244" s="260"/>
      <c r="F244" s="255"/>
      <c r="G244" s="255"/>
      <c r="H244" s="255"/>
      <c r="I244" s="255"/>
      <c r="J244" s="255"/>
      <c r="K244" s="255"/>
      <c r="L244" s="255"/>
      <c r="M244" s="257"/>
      <c r="N244" s="257"/>
      <c r="O244" s="257"/>
      <c r="P244" s="257"/>
      <c r="Q244" s="257"/>
      <c r="R244" s="257"/>
    </row>
    <row r="245" spans="2:18" x14ac:dyDescent="0.25">
      <c r="B245" s="264"/>
      <c r="C245" s="237"/>
      <c r="D245" s="255"/>
      <c r="E245" s="260"/>
      <c r="F245" s="255"/>
      <c r="G245" s="255"/>
      <c r="H245" s="255"/>
      <c r="I245" s="255"/>
      <c r="J245" s="255"/>
      <c r="K245" s="255"/>
      <c r="L245" s="255"/>
      <c r="M245" s="257"/>
      <c r="N245" s="257"/>
      <c r="O245" s="257"/>
      <c r="P245" s="257"/>
      <c r="Q245" s="257"/>
      <c r="R245" s="257"/>
    </row>
    <row r="246" spans="2:18" x14ac:dyDescent="0.25">
      <c r="B246" s="262" t="s">
        <v>332</v>
      </c>
      <c r="C246" s="237" t="s">
        <v>2</v>
      </c>
      <c r="D246" s="267">
        <f>IRR(E238:R238)</f>
        <v>0.37153460138252892</v>
      </c>
      <c r="E246" s="268"/>
      <c r="F246" s="255"/>
      <c r="G246" s="255"/>
      <c r="H246" s="255"/>
      <c r="I246" s="255"/>
      <c r="J246" s="255"/>
      <c r="K246" s="255"/>
      <c r="L246" s="255"/>
      <c r="M246" s="168"/>
      <c r="N246" s="168"/>
      <c r="O246" s="168"/>
      <c r="P246" s="168"/>
      <c r="Q246" s="168"/>
      <c r="R246" s="168"/>
    </row>
    <row r="247" spans="2:18" x14ac:dyDescent="0.25">
      <c r="B247" s="262" t="s">
        <v>526</v>
      </c>
      <c r="C247" s="270"/>
      <c r="D247" s="552">
        <f>D224/D229</f>
        <v>-6.6942052837140382</v>
      </c>
      <c r="E247" s="273"/>
      <c r="F247" s="272"/>
      <c r="G247" s="272"/>
      <c r="H247" s="272"/>
      <c r="I247" s="272"/>
      <c r="J247" s="272"/>
      <c r="K247" s="272"/>
      <c r="L247" s="272"/>
    </row>
    <row r="248" spans="2:18" x14ac:dyDescent="0.25">
      <c r="B248" s="168" t="s">
        <v>527</v>
      </c>
      <c r="C248" s="168" t="s">
        <v>529</v>
      </c>
      <c r="D248" s="213">
        <f>R6</f>
        <v>13</v>
      </c>
    </row>
    <row r="249" spans="2:18" ht="13.8" x14ac:dyDescent="0.25">
      <c r="B249" s="269" t="s">
        <v>528</v>
      </c>
      <c r="C249" s="168" t="s">
        <v>529</v>
      </c>
      <c r="D249" s="271">
        <f>2-G239/H238</f>
        <v>2.730702571675192</v>
      </c>
    </row>
    <row r="250" spans="2:18" x14ac:dyDescent="0.25">
      <c r="D250" s="274"/>
    </row>
    <row r="251" spans="2:18" x14ac:dyDescent="0.25">
      <c r="D251" s="274"/>
    </row>
  </sheetData>
  <mergeCells count="37">
    <mergeCell ref="B200:B201"/>
    <mergeCell ref="B206:B207"/>
    <mergeCell ref="B211:B212"/>
    <mergeCell ref="B169:B170"/>
    <mergeCell ref="B171:B172"/>
    <mergeCell ref="B173:B174"/>
    <mergeCell ref="B175:B176"/>
    <mergeCell ref="B178:B179"/>
    <mergeCell ref="B181:B182"/>
    <mergeCell ref="B167:B168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5:B6"/>
    <mergeCell ref="C5:C6"/>
    <mergeCell ref="D5:D6"/>
    <mergeCell ref="F5:L5"/>
    <mergeCell ref="B143:B144"/>
    <mergeCell ref="B106:B107"/>
    <mergeCell ref="B108:B109"/>
    <mergeCell ref="B110:B111"/>
    <mergeCell ref="B125:B126"/>
    <mergeCell ref="B128:B129"/>
    <mergeCell ref="B130:B131"/>
    <mergeCell ref="B132:B133"/>
    <mergeCell ref="B134:B135"/>
    <mergeCell ref="B136:B137"/>
    <mergeCell ref="B138:B139"/>
    <mergeCell ref="B140:B141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-0.499984740745262"/>
  </sheetPr>
  <dimension ref="A1:Q251"/>
  <sheetViews>
    <sheetView topLeftCell="A208" workbookViewId="0">
      <selection activeCell="J220" sqref="J220"/>
    </sheetView>
  </sheetViews>
  <sheetFormatPr defaultColWidth="9.109375" defaultRowHeight="13.2" x14ac:dyDescent="0.25"/>
  <cols>
    <col min="1" max="1" width="7.33203125" style="163" customWidth="1"/>
    <col min="2" max="2" width="49" style="163" customWidth="1"/>
    <col min="3" max="3" width="14.109375" style="163" customWidth="1"/>
    <col min="4" max="4" width="25" style="163" customWidth="1"/>
    <col min="5" max="5" width="11.88671875" style="163" customWidth="1"/>
    <col min="6" max="6" width="12.6640625" style="163" customWidth="1"/>
    <col min="7" max="7" width="13.33203125" style="163" customWidth="1"/>
    <col min="8" max="8" width="12.109375" style="163" customWidth="1"/>
    <col min="9" max="9" width="11.88671875" style="163" customWidth="1"/>
    <col min="10" max="13" width="10.5546875" style="163" customWidth="1"/>
    <col min="14" max="17" width="10.5546875" style="163" bestFit="1" customWidth="1"/>
    <col min="18" max="16384" width="9.109375" style="163"/>
  </cols>
  <sheetData>
    <row r="1" spans="2:17" x14ac:dyDescent="0.25">
      <c r="L1" s="163">
        <v>1</v>
      </c>
    </row>
    <row r="2" spans="2:17" x14ac:dyDescent="0.25">
      <c r="B2" s="559" t="s">
        <v>212</v>
      </c>
      <c r="C2" s="559"/>
      <c r="D2" s="559"/>
      <c r="E2" s="559"/>
      <c r="F2" s="559"/>
      <c r="G2" s="559"/>
      <c r="H2" s="559"/>
      <c r="I2" s="559"/>
      <c r="J2" s="559"/>
      <c r="K2" s="559"/>
      <c r="L2" s="559"/>
    </row>
    <row r="3" spans="2:17" x14ac:dyDescent="0.25">
      <c r="B3" s="558" t="s">
        <v>533</v>
      </c>
      <c r="C3" s="558"/>
      <c r="D3" s="558"/>
      <c r="E3" s="558"/>
      <c r="F3" s="558"/>
      <c r="G3" s="558"/>
      <c r="H3" s="558"/>
      <c r="I3" s="558"/>
      <c r="J3" s="558"/>
      <c r="K3" s="558"/>
      <c r="L3" s="558"/>
    </row>
    <row r="4" spans="2:17" x14ac:dyDescent="0.25">
      <c r="E4" s="164">
        <v>2023</v>
      </c>
      <c r="F4" s="164">
        <v>2024</v>
      </c>
      <c r="G4" s="164">
        <v>2025</v>
      </c>
      <c r="H4" s="164">
        <v>2026</v>
      </c>
      <c r="I4" s="164">
        <v>2027</v>
      </c>
      <c r="J4" s="164">
        <v>2028</v>
      </c>
      <c r="K4" s="164">
        <v>2029</v>
      </c>
      <c r="L4" s="164">
        <v>2030</v>
      </c>
      <c r="M4" s="164">
        <v>2031</v>
      </c>
      <c r="N4" s="164">
        <v>2032</v>
      </c>
      <c r="O4" s="164">
        <v>2033</v>
      </c>
      <c r="P4" s="164">
        <v>2034</v>
      </c>
      <c r="Q4" s="164">
        <v>2035</v>
      </c>
    </row>
    <row r="5" spans="2:17" x14ac:dyDescent="0.25">
      <c r="B5" s="676" t="s">
        <v>0</v>
      </c>
      <c r="C5" s="645" t="s">
        <v>213</v>
      </c>
      <c r="D5" s="645" t="s">
        <v>214</v>
      </c>
      <c r="E5" s="193"/>
      <c r="F5" s="676" t="s">
        <v>215</v>
      </c>
      <c r="G5" s="676"/>
      <c r="H5" s="676"/>
      <c r="I5" s="676"/>
      <c r="J5" s="676"/>
      <c r="K5" s="676"/>
      <c r="L5" s="676"/>
    </row>
    <row r="6" spans="2:17" x14ac:dyDescent="0.25">
      <c r="B6" s="676"/>
      <c r="C6" s="645"/>
      <c r="D6" s="645"/>
      <c r="E6" s="193">
        <v>-1</v>
      </c>
      <c r="F6" s="167">
        <v>1</v>
      </c>
      <c r="G6" s="167">
        <f>F6+1</f>
        <v>2</v>
      </c>
      <c r="H6" s="167">
        <f t="shared" ref="H6:Q6" si="0">G6+1</f>
        <v>3</v>
      </c>
      <c r="I6" s="167">
        <f t="shared" si="0"/>
        <v>4</v>
      </c>
      <c r="J6" s="167">
        <f t="shared" si="0"/>
        <v>5</v>
      </c>
      <c r="K6" s="167">
        <f>J6+1</f>
        <v>6</v>
      </c>
      <c r="L6" s="167">
        <f t="shared" si="0"/>
        <v>7</v>
      </c>
      <c r="M6" s="167">
        <f t="shared" si="0"/>
        <v>8</v>
      </c>
      <c r="N6" s="167">
        <f t="shared" si="0"/>
        <v>9</v>
      </c>
      <c r="O6" s="167">
        <f t="shared" si="0"/>
        <v>10</v>
      </c>
      <c r="P6" s="167">
        <f t="shared" si="0"/>
        <v>11</v>
      </c>
      <c r="Q6" s="167">
        <f t="shared" si="0"/>
        <v>12</v>
      </c>
    </row>
    <row r="7" spans="2:17" x14ac:dyDescent="0.25">
      <c r="B7" s="564" t="s">
        <v>216</v>
      </c>
      <c r="C7" s="193" t="s">
        <v>217</v>
      </c>
      <c r="D7" s="165">
        <f>'Расч эксп запасов'!D8</f>
        <v>15260.387276125099</v>
      </c>
      <c r="E7" s="165"/>
      <c r="F7" s="166"/>
      <c r="G7" s="167"/>
      <c r="H7" s="167"/>
      <c r="I7" s="167"/>
      <c r="J7" s="167"/>
      <c r="K7" s="167"/>
      <c r="L7" s="167"/>
      <c r="M7" s="168"/>
      <c r="N7" s="168"/>
      <c r="O7" s="168"/>
      <c r="P7" s="168"/>
      <c r="Q7" s="168"/>
    </row>
    <row r="8" spans="2:17" x14ac:dyDescent="0.25">
      <c r="B8" s="571" t="s">
        <v>218</v>
      </c>
      <c r="C8" s="193"/>
      <c r="F8" s="166"/>
      <c r="G8" s="167"/>
      <c r="H8" s="167"/>
      <c r="I8" s="167"/>
      <c r="J8" s="167"/>
      <c r="K8" s="167"/>
      <c r="L8" s="167"/>
      <c r="M8" s="168"/>
      <c r="N8" s="168"/>
      <c r="O8" s="168"/>
      <c r="P8" s="168"/>
      <c r="Q8" s="168"/>
    </row>
    <row r="9" spans="2:17" x14ac:dyDescent="0.25">
      <c r="B9" s="169" t="s">
        <v>219</v>
      </c>
      <c r="C9" s="193" t="s">
        <v>2</v>
      </c>
      <c r="D9" s="172">
        <f>'Расч эксп запасов'!E8</f>
        <v>2.2222738226953198</v>
      </c>
      <c r="E9" s="170"/>
      <c r="F9" s="166"/>
      <c r="G9" s="167"/>
      <c r="H9" s="167"/>
      <c r="I9" s="167"/>
      <c r="J9" s="167"/>
      <c r="K9" s="167"/>
      <c r="L9" s="167"/>
      <c r="M9" s="168"/>
      <c r="N9" s="168"/>
      <c r="O9" s="168"/>
      <c r="P9" s="168"/>
      <c r="Q9" s="168"/>
    </row>
    <row r="10" spans="2:17" x14ac:dyDescent="0.25">
      <c r="B10" s="169" t="s">
        <v>220</v>
      </c>
      <c r="C10" s="193" t="s">
        <v>2</v>
      </c>
      <c r="D10" s="172">
        <f>'Расч эксп запасов'!F8</f>
        <v>4.6357642732305795</v>
      </c>
      <c r="E10" s="170"/>
      <c r="F10" s="166"/>
      <c r="G10" s="167"/>
      <c r="H10" s="167"/>
      <c r="I10" s="167"/>
      <c r="J10" s="167"/>
      <c r="K10" s="167"/>
      <c r="L10" s="167"/>
      <c r="M10" s="168"/>
      <c r="N10" s="168"/>
      <c r="O10" s="168"/>
      <c r="P10" s="168"/>
      <c r="Q10" s="168"/>
    </row>
    <row r="11" spans="2:17" x14ac:dyDescent="0.25">
      <c r="B11" s="171" t="s">
        <v>221</v>
      </c>
      <c r="C11" s="193" t="s">
        <v>2</v>
      </c>
      <c r="D11" s="172">
        <f>'Расч эксп запасов'!G8</f>
        <v>1.4278681983705197</v>
      </c>
      <c r="E11" s="170"/>
      <c r="F11" s="166"/>
      <c r="G11" s="167"/>
      <c r="H11" s="167"/>
      <c r="I11" s="167"/>
      <c r="J11" s="167"/>
      <c r="K11" s="167"/>
      <c r="L11" s="167"/>
      <c r="M11" s="168"/>
      <c r="N11" s="168"/>
      <c r="O11" s="168"/>
      <c r="P11" s="168"/>
      <c r="Q11" s="168"/>
    </row>
    <row r="12" spans="2:17" x14ac:dyDescent="0.25">
      <c r="B12" s="169" t="s">
        <v>222</v>
      </c>
      <c r="C12" s="193" t="s">
        <v>223</v>
      </c>
      <c r="D12" s="172">
        <f>'Расч эксп запасов'!H8</f>
        <v>0.95466971221777008</v>
      </c>
      <c r="E12" s="170"/>
      <c r="F12" s="123"/>
      <c r="G12" s="167"/>
      <c r="H12" s="167"/>
      <c r="I12" s="167"/>
      <c r="J12" s="167"/>
      <c r="K12" s="167"/>
      <c r="L12" s="172"/>
      <c r="M12" s="168"/>
      <c r="N12" s="168"/>
      <c r="O12" s="168"/>
      <c r="P12" s="168"/>
      <c r="Q12" s="168"/>
    </row>
    <row r="13" spans="2:17" x14ac:dyDescent="0.25">
      <c r="B13" s="169" t="s">
        <v>224</v>
      </c>
      <c r="C13" s="193" t="s">
        <v>223</v>
      </c>
      <c r="D13" s="172">
        <f>'Расч эксп запасов'!I8</f>
        <v>109.43735927259901</v>
      </c>
      <c r="E13" s="170"/>
      <c r="F13" s="123"/>
      <c r="G13" s="167"/>
      <c r="H13" s="167"/>
      <c r="I13" s="167"/>
      <c r="J13" s="167"/>
      <c r="K13" s="167"/>
      <c r="L13" s="172"/>
      <c r="M13" s="168"/>
      <c r="N13" s="168"/>
      <c r="O13" s="168"/>
      <c r="P13" s="168"/>
      <c r="Q13" s="168"/>
    </row>
    <row r="14" spans="2:17" x14ac:dyDescent="0.25">
      <c r="B14" s="571" t="s">
        <v>225</v>
      </c>
      <c r="C14" s="193"/>
      <c r="D14" s="172"/>
      <c r="E14" s="170"/>
      <c r="F14" s="173"/>
      <c r="G14" s="167"/>
      <c r="H14" s="167"/>
      <c r="I14" s="167"/>
      <c r="J14" s="167"/>
      <c r="K14" s="167"/>
      <c r="L14" s="167"/>
      <c r="M14" s="168"/>
      <c r="N14" s="168"/>
      <c r="O14" s="168"/>
      <c r="P14" s="168"/>
      <c r="Q14" s="168"/>
    </row>
    <row r="15" spans="2:17" x14ac:dyDescent="0.25">
      <c r="B15" s="169" t="s">
        <v>219</v>
      </c>
      <c r="C15" s="193" t="s">
        <v>226</v>
      </c>
      <c r="D15" s="190">
        <f>'Расч эксп запасов'!J8</f>
        <v>339127.59167925542</v>
      </c>
      <c r="E15" s="174"/>
      <c r="F15" s="173"/>
      <c r="G15" s="167"/>
      <c r="H15" s="167"/>
      <c r="I15" s="167"/>
      <c r="J15" s="167"/>
      <c r="K15" s="167"/>
      <c r="L15" s="167"/>
      <c r="M15" s="168"/>
      <c r="N15" s="168"/>
      <c r="O15" s="168"/>
      <c r="P15" s="168"/>
      <c r="Q15" s="168"/>
    </row>
    <row r="16" spans="2:17" x14ac:dyDescent="0.25">
      <c r="B16" s="169" t="s">
        <v>220</v>
      </c>
      <c r="C16" s="193" t="s">
        <v>226</v>
      </c>
      <c r="D16" s="190">
        <f>'Расч эксп запасов'!K8</f>
        <v>707435.58130323258</v>
      </c>
      <c r="E16" s="174"/>
      <c r="F16" s="173"/>
      <c r="G16" s="167"/>
      <c r="H16" s="167"/>
      <c r="I16" s="167"/>
      <c r="J16" s="167"/>
      <c r="K16" s="167"/>
      <c r="L16" s="167"/>
      <c r="M16" s="168"/>
      <c r="N16" s="168"/>
      <c r="O16" s="168"/>
      <c r="P16" s="168"/>
      <c r="Q16" s="168"/>
    </row>
    <row r="17" spans="1:17" x14ac:dyDescent="0.25">
      <c r="B17" s="171" t="s">
        <v>221</v>
      </c>
      <c r="C17" s="193" t="s">
        <v>226</v>
      </c>
      <c r="D17" s="190">
        <f>'Расч эксп запасов'!L8</f>
        <v>217898.21686397149</v>
      </c>
      <c r="E17" s="174"/>
      <c r="F17" s="173"/>
      <c r="G17" s="167"/>
      <c r="H17" s="167"/>
      <c r="I17" s="167"/>
      <c r="J17" s="167"/>
      <c r="K17" s="167"/>
      <c r="L17" s="167"/>
      <c r="M17" s="168"/>
      <c r="N17" s="168"/>
      <c r="O17" s="168"/>
      <c r="P17" s="168"/>
      <c r="Q17" s="168"/>
    </row>
    <row r="18" spans="1:17" x14ac:dyDescent="0.25">
      <c r="B18" s="169" t="s">
        <v>222</v>
      </c>
      <c r="C18" s="193" t="s">
        <v>227</v>
      </c>
      <c r="D18" s="190">
        <f>'Расч эксп запасов'!M8</f>
        <v>14568.629529230067</v>
      </c>
      <c r="E18" s="174"/>
      <c r="F18" s="166"/>
      <c r="G18" s="167"/>
      <c r="H18" s="167"/>
      <c r="I18" s="167"/>
      <c r="J18" s="167"/>
      <c r="K18" s="167"/>
      <c r="L18" s="167"/>
      <c r="M18" s="168"/>
      <c r="N18" s="168"/>
      <c r="O18" s="168"/>
      <c r="P18" s="168"/>
      <c r="Q18" s="168"/>
    </row>
    <row r="19" spans="1:17" x14ac:dyDescent="0.25">
      <c r="B19" s="169" t="s">
        <v>224</v>
      </c>
      <c r="C19" s="193" t="s">
        <v>227</v>
      </c>
      <c r="D19" s="190">
        <f>'Расч эксп запасов'!N8</f>
        <v>1670056.484976301</v>
      </c>
      <c r="E19" s="174"/>
      <c r="F19" s="166"/>
      <c r="G19" s="167"/>
      <c r="H19" s="167"/>
      <c r="I19" s="167"/>
      <c r="J19" s="167"/>
      <c r="K19" s="167"/>
      <c r="L19" s="167"/>
      <c r="M19" s="168"/>
      <c r="N19" s="168"/>
      <c r="O19" s="168"/>
      <c r="P19" s="168"/>
      <c r="Q19" s="168"/>
    </row>
    <row r="20" spans="1:17" x14ac:dyDescent="0.25">
      <c r="B20" s="182" t="s">
        <v>102</v>
      </c>
      <c r="C20" s="168" t="s">
        <v>2</v>
      </c>
      <c r="D20" s="176">
        <f>'Расч эксп запасов'!C13/100</f>
        <v>7.5399999999999995E-2</v>
      </c>
      <c r="E20" s="175"/>
      <c r="F20" s="167"/>
      <c r="G20" s="167"/>
      <c r="H20" s="167"/>
      <c r="I20" s="167"/>
      <c r="J20" s="167"/>
      <c r="K20" s="167"/>
      <c r="L20" s="172"/>
      <c r="M20" s="168"/>
      <c r="N20" s="168"/>
      <c r="O20" s="168"/>
      <c r="P20" s="168"/>
      <c r="Q20" s="168"/>
    </row>
    <row r="21" spans="1:17" x14ac:dyDescent="0.25">
      <c r="B21" s="182" t="s">
        <v>133</v>
      </c>
      <c r="C21" s="168" t="s">
        <v>2</v>
      </c>
      <c r="D21" s="176">
        <f>'Расч эксп запасов'!C18/100</f>
        <v>0.12130000000000001</v>
      </c>
      <c r="E21" s="176"/>
      <c r="F21" s="167"/>
      <c r="G21" s="167"/>
      <c r="H21" s="167"/>
      <c r="I21" s="167"/>
      <c r="J21" s="167"/>
      <c r="K21" s="167"/>
      <c r="L21" s="172"/>
      <c r="M21" s="168"/>
      <c r="N21" s="168"/>
      <c r="O21" s="168"/>
      <c r="P21" s="168"/>
      <c r="Q21" s="168"/>
    </row>
    <row r="22" spans="1:17" x14ac:dyDescent="0.25">
      <c r="B22" s="182" t="s">
        <v>228</v>
      </c>
      <c r="C22" s="193" t="s">
        <v>229</v>
      </c>
      <c r="D22" s="165">
        <f>SUM(F22:Q22)</f>
        <v>16057.532999999999</v>
      </c>
      <c r="E22" s="165"/>
      <c r="F22" s="165">
        <f>календари!F36</f>
        <v>1250</v>
      </c>
      <c r="G22" s="165">
        <f>календари!G36</f>
        <v>1300</v>
      </c>
      <c r="H22" s="165">
        <f>календари!H36</f>
        <v>1400</v>
      </c>
      <c r="I22" s="165">
        <f>календари!I36</f>
        <v>1500</v>
      </c>
      <c r="J22" s="165">
        <f>календари!J36</f>
        <v>1500</v>
      </c>
      <c r="K22" s="165">
        <f>календари!K36</f>
        <v>1500</v>
      </c>
      <c r="L22" s="165">
        <f>календари!L36</f>
        <v>1500</v>
      </c>
      <c r="M22" s="165">
        <f>календари!M36</f>
        <v>1500</v>
      </c>
      <c r="N22" s="165">
        <f>календари!N36</f>
        <v>1500</v>
      </c>
      <c r="O22" s="165">
        <f>календари!O36</f>
        <v>1500</v>
      </c>
      <c r="P22" s="165">
        <f>календари!P36</f>
        <v>1000</v>
      </c>
      <c r="Q22" s="165">
        <f>календари!Q36</f>
        <v>607.53300000000002</v>
      </c>
    </row>
    <row r="23" spans="1:17" x14ac:dyDescent="0.25">
      <c r="B23" s="182" t="s">
        <v>230</v>
      </c>
      <c r="C23" s="193"/>
      <c r="D23" s="165"/>
      <c r="E23" s="165"/>
      <c r="F23" s="165"/>
      <c r="G23" s="177"/>
      <c r="H23" s="177"/>
      <c r="I23" s="177"/>
      <c r="J23" s="177"/>
      <c r="K23" s="177"/>
      <c r="L23" s="178"/>
    </row>
    <row r="24" spans="1:17" x14ac:dyDescent="0.25">
      <c r="B24" s="169" t="s">
        <v>219</v>
      </c>
      <c r="C24" s="179" t="s">
        <v>2</v>
      </c>
      <c r="D24" s="180">
        <f>AVERAGE(F24:Q24)</f>
        <v>2.0144241988371139</v>
      </c>
      <c r="E24" s="180"/>
      <c r="F24" s="180">
        <f t="shared" ref="F24:Q24" si="1">F30/F22/10</f>
        <v>1.952709672152005</v>
      </c>
      <c r="G24" s="180">
        <f t="shared" si="1"/>
        <v>1.8804057803448913</v>
      </c>
      <c r="H24" s="180">
        <f t="shared" si="1"/>
        <v>1.8804057803448913</v>
      </c>
      <c r="I24" s="180">
        <f t="shared" si="1"/>
        <v>1.8804057803448913</v>
      </c>
      <c r="J24" s="180">
        <f t="shared" si="1"/>
        <v>1.8804057803448913</v>
      </c>
      <c r="K24" s="180">
        <f t="shared" si="1"/>
        <v>1.8804057803448913</v>
      </c>
      <c r="L24" s="180">
        <f t="shared" si="1"/>
        <v>1.8804057803448913</v>
      </c>
      <c r="M24" s="180">
        <f t="shared" si="1"/>
        <v>1.8804057803448913</v>
      </c>
      <c r="N24" s="180">
        <f t="shared" si="1"/>
        <v>1.8804057803448913</v>
      </c>
      <c r="O24" s="180">
        <f t="shared" si="1"/>
        <v>1.8804057803448913</v>
      </c>
      <c r="P24" s="180">
        <f t="shared" si="1"/>
        <v>2.8206086705173368</v>
      </c>
      <c r="Q24" s="180">
        <f t="shared" si="1"/>
        <v>2.4761200202720066</v>
      </c>
    </row>
    <row r="25" spans="1:17" x14ac:dyDescent="0.25">
      <c r="B25" s="169" t="s">
        <v>220</v>
      </c>
      <c r="C25" s="179" t="s">
        <v>2</v>
      </c>
      <c r="D25" s="180">
        <f>AVERAGE(F25:Q25)</f>
        <v>4.0781824600858299</v>
      </c>
      <c r="E25" s="180"/>
      <c r="F25" s="180">
        <f t="shared" ref="F25:Q25" si="2">F31/F22/10</f>
        <v>4.0734464005149489</v>
      </c>
      <c r="G25" s="180">
        <f t="shared" si="2"/>
        <v>3.7966911271127004</v>
      </c>
      <c r="H25" s="180">
        <f t="shared" si="2"/>
        <v>3.7966911271127008</v>
      </c>
      <c r="I25" s="180">
        <f t="shared" si="2"/>
        <v>3.7966911271127004</v>
      </c>
      <c r="J25" s="180">
        <f t="shared" si="2"/>
        <v>3.7966911271127004</v>
      </c>
      <c r="K25" s="180">
        <f t="shared" si="2"/>
        <v>3.7966911271127004</v>
      </c>
      <c r="L25" s="180">
        <f t="shared" si="2"/>
        <v>3.7966911271127004</v>
      </c>
      <c r="M25" s="180">
        <f t="shared" si="2"/>
        <v>3.7966911271127004</v>
      </c>
      <c r="N25" s="180">
        <f t="shared" si="2"/>
        <v>3.7966911271127004</v>
      </c>
      <c r="O25" s="180">
        <f t="shared" si="2"/>
        <v>3.7966911271127004</v>
      </c>
      <c r="P25" s="180">
        <f t="shared" si="2"/>
        <v>5.6950366906690508</v>
      </c>
      <c r="Q25" s="180">
        <f t="shared" si="2"/>
        <v>4.9994862858316509</v>
      </c>
    </row>
    <row r="26" spans="1:17" x14ac:dyDescent="0.25">
      <c r="A26" s="181"/>
      <c r="B26" s="171" t="s">
        <v>221</v>
      </c>
      <c r="C26" s="179" t="s">
        <v>2</v>
      </c>
      <c r="D26" s="180">
        <f>AVERAGE(F26:Q26)</f>
        <v>1.2582540805091809</v>
      </c>
      <c r="E26" s="180"/>
      <c r="F26" s="180">
        <f t="shared" ref="F26:Q26" si="3">F32/F22/10</f>
        <v>1.2546696930344157</v>
      </c>
      <c r="G26" s="180">
        <f t="shared" si="3"/>
        <v>1.1715843731741917</v>
      </c>
      <c r="H26" s="180">
        <f t="shared" si="3"/>
        <v>1.1715843731741917</v>
      </c>
      <c r="I26" s="180">
        <f t="shared" si="3"/>
        <v>1.1715843731741917</v>
      </c>
      <c r="J26" s="180">
        <f t="shared" si="3"/>
        <v>1.1715843731741917</v>
      </c>
      <c r="K26" s="180">
        <f t="shared" si="3"/>
        <v>1.1715843731741917</v>
      </c>
      <c r="L26" s="180">
        <f t="shared" si="3"/>
        <v>1.1715843731741917</v>
      </c>
      <c r="M26" s="180">
        <f t="shared" si="3"/>
        <v>1.1715843731741917</v>
      </c>
      <c r="N26" s="180">
        <f t="shared" si="3"/>
        <v>1.1715843731741917</v>
      </c>
      <c r="O26" s="180">
        <f t="shared" si="3"/>
        <v>1.1715843731741917</v>
      </c>
      <c r="P26" s="180">
        <f t="shared" si="3"/>
        <v>1.7573765597612876</v>
      </c>
      <c r="Q26" s="180">
        <f t="shared" si="3"/>
        <v>1.5427433547467437</v>
      </c>
    </row>
    <row r="27" spans="1:17" x14ac:dyDescent="0.25">
      <c r="A27" s="181"/>
      <c r="B27" s="169" t="s">
        <v>222</v>
      </c>
      <c r="C27" s="179" t="s">
        <v>223</v>
      </c>
      <c r="D27" s="180">
        <f>AVERAGE(F27:Q27)</f>
        <v>0.84726132203494287</v>
      </c>
      <c r="E27" s="180"/>
      <c r="F27" s="180">
        <f t="shared" ref="F27:Q27" si="4">F33/F22</f>
        <v>0.83885862168242165</v>
      </c>
      <c r="G27" s="180">
        <f t="shared" si="4"/>
        <v>0.78940800671946287</v>
      </c>
      <c r="H27" s="180">
        <f t="shared" si="4"/>
        <v>0.78940800671946298</v>
      </c>
      <c r="I27" s="180">
        <f t="shared" si="4"/>
        <v>0.78940800671946298</v>
      </c>
      <c r="J27" s="180">
        <f t="shared" si="4"/>
        <v>0.78940800671946298</v>
      </c>
      <c r="K27" s="180">
        <f t="shared" si="4"/>
        <v>0.78940800671946298</v>
      </c>
      <c r="L27" s="180">
        <f t="shared" si="4"/>
        <v>0.78940800671946298</v>
      </c>
      <c r="M27" s="180">
        <f t="shared" si="4"/>
        <v>0.78940800671946298</v>
      </c>
      <c r="N27" s="180">
        <f t="shared" si="4"/>
        <v>0.78940800671946298</v>
      </c>
      <c r="O27" s="180">
        <f t="shared" si="4"/>
        <v>0.78940800671946298</v>
      </c>
      <c r="P27" s="180">
        <f t="shared" si="4"/>
        <v>1.1841120100791946</v>
      </c>
      <c r="Q27" s="180">
        <f t="shared" si="4"/>
        <v>1.0394931721825322</v>
      </c>
    </row>
    <row r="28" spans="1:17" x14ac:dyDescent="0.25">
      <c r="A28" s="181"/>
      <c r="B28" s="169" t="s">
        <v>224</v>
      </c>
      <c r="C28" s="179" t="s">
        <v>223</v>
      </c>
      <c r="D28" s="180">
        <f>AVERAGE(F28:Q28)</f>
        <v>96.64158987258979</v>
      </c>
      <c r="E28" s="180"/>
      <c r="F28" s="180">
        <f t="shared" ref="F28:Q28" si="5">F34/F22</f>
        <v>96.162592348401219</v>
      </c>
      <c r="G28" s="180">
        <f t="shared" si="5"/>
        <v>90.002065304954158</v>
      </c>
      <c r="H28" s="180">
        <f t="shared" si="5"/>
        <v>90.002065304954144</v>
      </c>
      <c r="I28" s="180">
        <f t="shared" si="5"/>
        <v>90.002065304954144</v>
      </c>
      <c r="J28" s="180">
        <f t="shared" si="5"/>
        <v>90.002065304954144</v>
      </c>
      <c r="K28" s="180">
        <f t="shared" si="5"/>
        <v>90.002065304954144</v>
      </c>
      <c r="L28" s="180">
        <f t="shared" si="5"/>
        <v>90.002065304954144</v>
      </c>
      <c r="M28" s="180">
        <f t="shared" si="5"/>
        <v>90.002065304954144</v>
      </c>
      <c r="N28" s="180">
        <f t="shared" si="5"/>
        <v>90.002065304954144</v>
      </c>
      <c r="O28" s="180">
        <f t="shared" si="5"/>
        <v>90.002065304954144</v>
      </c>
      <c r="P28" s="180">
        <f t="shared" si="5"/>
        <v>135.00309795743121</v>
      </c>
      <c r="Q28" s="180">
        <f t="shared" si="5"/>
        <v>118.51480042065749</v>
      </c>
    </row>
    <row r="29" spans="1:17" x14ac:dyDescent="0.25">
      <c r="B29" s="182" t="s">
        <v>543</v>
      </c>
      <c r="C29" s="182"/>
      <c r="D29" s="182"/>
      <c r="E29" s="182"/>
      <c r="F29" s="182"/>
      <c r="G29" s="182"/>
      <c r="H29" s="182"/>
      <c r="I29" s="182"/>
      <c r="J29" s="182"/>
      <c r="K29" s="182"/>
      <c r="L29" s="182"/>
    </row>
    <row r="30" spans="1:17" x14ac:dyDescent="0.25">
      <c r="B30" s="169" t="s">
        <v>219</v>
      </c>
      <c r="C30" s="179" t="s">
        <v>231</v>
      </c>
      <c r="D30" s="165">
        <f>SUM(F30:Q30)</f>
        <v>315871.7668553582</v>
      </c>
      <c r="E30" s="183"/>
      <c r="F30" s="183">
        <f>календари!F42*1000</f>
        <v>24408.870901900063</v>
      </c>
      <c r="G30" s="183">
        <f>календари!G27*1000</f>
        <v>24445.275144483589</v>
      </c>
      <c r="H30" s="183">
        <f>календари!H27*1000</f>
        <v>26325.680924828477</v>
      </c>
      <c r="I30" s="183">
        <f>календари!I27*1000</f>
        <v>28206.086705173369</v>
      </c>
      <c r="J30" s="183">
        <f>календари!J27*1000</f>
        <v>28206.086705173369</v>
      </c>
      <c r="K30" s="183">
        <f>календари!K27*1000</f>
        <v>28206.086705173369</v>
      </c>
      <c r="L30" s="183">
        <f>календари!L27*1000</f>
        <v>28206.086705173369</v>
      </c>
      <c r="M30" s="183">
        <f>календари!M27*1000</f>
        <v>28206.086705173369</v>
      </c>
      <c r="N30" s="183">
        <f>календари!N27*1000</f>
        <v>28206.086705173369</v>
      </c>
      <c r="O30" s="183">
        <f>календари!O27*1000</f>
        <v>28206.086705173369</v>
      </c>
      <c r="P30" s="183">
        <f>календари!P27*1000</f>
        <v>28206.086705173369</v>
      </c>
      <c r="Q30" s="183">
        <f>календари!Q27*1000</f>
        <v>15043.246242759131</v>
      </c>
    </row>
    <row r="31" spans="1:17" x14ac:dyDescent="0.25">
      <c r="B31" s="169" t="s">
        <v>220</v>
      </c>
      <c r="C31" s="179" t="s">
        <v>231</v>
      </c>
      <c r="D31" s="165">
        <f>SUM(F31:Q31)</f>
        <v>639405.20470890554</v>
      </c>
      <c r="E31" s="183"/>
      <c r="F31" s="183">
        <f>календари!F43*1000</f>
        <v>50918.08000643686</v>
      </c>
      <c r="G31" s="183">
        <f>календари!G28*1000</f>
        <v>49356.984652465108</v>
      </c>
      <c r="H31" s="183">
        <f>календари!H28*1000</f>
        <v>53153.67577957781</v>
      </c>
      <c r="I31" s="183">
        <f>календари!I28*1000</f>
        <v>56950.366906690506</v>
      </c>
      <c r="J31" s="183">
        <f>календари!J28*1000</f>
        <v>56950.366906690506</v>
      </c>
      <c r="K31" s="183">
        <f>календари!K28*1000</f>
        <v>56950.366906690506</v>
      </c>
      <c r="L31" s="183">
        <f>календари!L28*1000</f>
        <v>56950.366906690506</v>
      </c>
      <c r="M31" s="183">
        <f>календари!M28*1000</f>
        <v>56950.366906690506</v>
      </c>
      <c r="N31" s="183">
        <f>календари!N28*1000</f>
        <v>56950.366906690506</v>
      </c>
      <c r="O31" s="183">
        <f>календари!O28*1000</f>
        <v>56950.366906690506</v>
      </c>
      <c r="P31" s="183">
        <f>календари!P28*1000</f>
        <v>56950.366906690506</v>
      </c>
      <c r="Q31" s="183">
        <f>календари!Q28*1000</f>
        <v>30373.529016901604</v>
      </c>
    </row>
    <row r="32" spans="1:17" x14ac:dyDescent="0.25">
      <c r="B32" s="171" t="s">
        <v>221</v>
      </c>
      <c r="C32" s="179" t="s">
        <v>231</v>
      </c>
      <c r="D32" s="165">
        <f>SUM(F32:Q32)</f>
        <v>197278.94900492995</v>
      </c>
      <c r="E32" s="184"/>
      <c r="F32" s="183">
        <f>календари!F44*1000</f>
        <v>15683.371162930196</v>
      </c>
      <c r="G32" s="183">
        <f>календари!G29*1000</f>
        <v>15230.596851264492</v>
      </c>
      <c r="H32" s="183">
        <f>календари!H29*1000</f>
        <v>16402.181224438686</v>
      </c>
      <c r="I32" s="183">
        <f>календари!I29*1000</f>
        <v>17573.765597612877</v>
      </c>
      <c r="J32" s="183">
        <f>календари!J29*1000</f>
        <v>17573.765597612877</v>
      </c>
      <c r="K32" s="183">
        <f>календари!K29*1000</f>
        <v>17573.765597612877</v>
      </c>
      <c r="L32" s="183">
        <f>календари!L29*1000</f>
        <v>17573.765597612877</v>
      </c>
      <c r="M32" s="183">
        <f>календари!M29*1000</f>
        <v>17573.765597612877</v>
      </c>
      <c r="N32" s="183">
        <f>календари!N29*1000</f>
        <v>17573.765597612877</v>
      </c>
      <c r="O32" s="183">
        <f>календари!O29*1000</f>
        <v>17573.765597612877</v>
      </c>
      <c r="P32" s="183">
        <f>календари!P29*1000</f>
        <v>17573.765597612877</v>
      </c>
      <c r="Q32" s="183">
        <f>календари!Q29*1000</f>
        <v>9372.6749853935344</v>
      </c>
    </row>
    <row r="33" spans="2:17" x14ac:dyDescent="0.25">
      <c r="B33" s="169" t="s">
        <v>222</v>
      </c>
      <c r="C33" s="185" t="s">
        <v>71</v>
      </c>
      <c r="D33" s="165">
        <f>SUM(F33:Q33)</f>
        <v>13284.397381254701</v>
      </c>
      <c r="E33" s="183"/>
      <c r="F33" s="183">
        <f>календари!F45</f>
        <v>1048.5732771030271</v>
      </c>
      <c r="G33" s="183">
        <f>календари!G30</f>
        <v>1026.2304087353018</v>
      </c>
      <c r="H33" s="183">
        <f>календари!H30</f>
        <v>1105.1712094072482</v>
      </c>
      <c r="I33" s="183">
        <f>календари!I30</f>
        <v>1184.1120100791945</v>
      </c>
      <c r="J33" s="183">
        <f>календари!J30</f>
        <v>1184.1120100791945</v>
      </c>
      <c r="K33" s="183">
        <f>календари!K30</f>
        <v>1184.1120100791945</v>
      </c>
      <c r="L33" s="183">
        <f>календари!L30</f>
        <v>1184.1120100791945</v>
      </c>
      <c r="M33" s="183">
        <f>календари!M30</f>
        <v>1184.1120100791945</v>
      </c>
      <c r="N33" s="183">
        <f>календари!N30</f>
        <v>1184.1120100791945</v>
      </c>
      <c r="O33" s="183">
        <f>календари!O30</f>
        <v>1184.1120100791945</v>
      </c>
      <c r="P33" s="183">
        <f>календари!P30</f>
        <v>1184.1120100791945</v>
      </c>
      <c r="Q33" s="183">
        <f>календари!Q30</f>
        <v>631.52640537557033</v>
      </c>
    </row>
    <row r="34" spans="2:17" x14ac:dyDescent="0.25">
      <c r="B34" s="169" t="s">
        <v>224</v>
      </c>
      <c r="C34" s="186" t="s">
        <v>71</v>
      </c>
      <c r="D34" s="165">
        <f>SUM(F34:Q34)</f>
        <v>1515235.2526622911</v>
      </c>
      <c r="E34" s="183"/>
      <c r="F34" s="183">
        <f>календари!F46</f>
        <v>120203.24043550153</v>
      </c>
      <c r="G34" s="183">
        <f>календари!G31</f>
        <v>117002.68489644041</v>
      </c>
      <c r="H34" s="183">
        <f>календари!H31</f>
        <v>126002.89142693581</v>
      </c>
      <c r="I34" s="183">
        <f>календари!I31</f>
        <v>135003.09795743122</v>
      </c>
      <c r="J34" s="183">
        <f>календари!J31</f>
        <v>135003.09795743122</v>
      </c>
      <c r="K34" s="183">
        <f>календари!K31</f>
        <v>135003.09795743122</v>
      </c>
      <c r="L34" s="183">
        <f>календари!L31</f>
        <v>135003.09795743122</v>
      </c>
      <c r="M34" s="183">
        <f>календари!M31</f>
        <v>135003.09795743122</v>
      </c>
      <c r="N34" s="183">
        <f>календари!N31</f>
        <v>135003.09795743122</v>
      </c>
      <c r="O34" s="183">
        <f>календари!O31</f>
        <v>135003.09795743122</v>
      </c>
      <c r="P34" s="183">
        <f>календари!P31</f>
        <v>135003.09795743122</v>
      </c>
      <c r="Q34" s="183">
        <f>календари!Q31</f>
        <v>72001.652243963312</v>
      </c>
    </row>
    <row r="35" spans="2:17" x14ac:dyDescent="0.25">
      <c r="B35" s="564" t="s">
        <v>232</v>
      </c>
      <c r="C35" s="187"/>
      <c r="D35" s="165"/>
      <c r="E35" s="165"/>
      <c r="F35" s="172"/>
      <c r="G35" s="183"/>
      <c r="H35" s="183"/>
      <c r="I35" s="183"/>
      <c r="J35" s="183"/>
      <c r="K35" s="183"/>
      <c r="L35" s="183"/>
      <c r="M35" s="168"/>
      <c r="N35" s="168"/>
      <c r="O35" s="168"/>
      <c r="P35" s="168"/>
      <c r="Q35" s="168"/>
    </row>
    <row r="36" spans="2:17" x14ac:dyDescent="0.25">
      <c r="B36" s="182" t="s">
        <v>233</v>
      </c>
      <c r="C36" s="572" t="s">
        <v>229</v>
      </c>
      <c r="D36" s="165">
        <f>SUM(F36:Q36)</f>
        <v>16057.532999999999</v>
      </c>
      <c r="E36" s="165"/>
      <c r="F36" s="172">
        <f>F22</f>
        <v>1250</v>
      </c>
      <c r="G36" s="172">
        <f t="shared" ref="G36:Q36" si="6">G22</f>
        <v>1300</v>
      </c>
      <c r="H36" s="172">
        <f t="shared" si="6"/>
        <v>1400</v>
      </c>
      <c r="I36" s="172">
        <f t="shared" si="6"/>
        <v>1500</v>
      </c>
      <c r="J36" s="172">
        <f t="shared" si="6"/>
        <v>1500</v>
      </c>
      <c r="K36" s="172">
        <f t="shared" si="6"/>
        <v>1500</v>
      </c>
      <c r="L36" s="172">
        <f t="shared" si="6"/>
        <v>1500</v>
      </c>
      <c r="M36" s="172">
        <f t="shared" si="6"/>
        <v>1500</v>
      </c>
      <c r="N36" s="172">
        <f t="shared" si="6"/>
        <v>1500</v>
      </c>
      <c r="O36" s="172">
        <f t="shared" si="6"/>
        <v>1500</v>
      </c>
      <c r="P36" s="172">
        <f t="shared" si="6"/>
        <v>1000</v>
      </c>
      <c r="Q36" s="172">
        <f t="shared" si="6"/>
        <v>607.53300000000002</v>
      </c>
    </row>
    <row r="37" spans="2:17" x14ac:dyDescent="0.25">
      <c r="B37" s="573" t="s">
        <v>234</v>
      </c>
      <c r="C37" s="574"/>
      <c r="D37" s="165"/>
      <c r="E37" s="165"/>
      <c r="F37" s="172"/>
      <c r="G37" s="172"/>
      <c r="H37" s="172"/>
      <c r="I37" s="172"/>
      <c r="J37" s="172"/>
      <c r="K37" s="172"/>
      <c r="L37" s="172"/>
      <c r="M37" s="168"/>
      <c r="N37" s="168"/>
      <c r="O37" s="168"/>
      <c r="P37" s="168"/>
      <c r="Q37" s="168"/>
    </row>
    <row r="38" spans="2:17" x14ac:dyDescent="0.25">
      <c r="B38" s="188" t="s">
        <v>235</v>
      </c>
      <c r="C38" s="572" t="s">
        <v>2</v>
      </c>
      <c r="D38" s="575">
        <f>'Данные по переработке'!B3/100</f>
        <v>7.1500000000000008E-2</v>
      </c>
      <c r="E38" s="575"/>
      <c r="F38" s="575">
        <f>$D$38</f>
        <v>7.1500000000000008E-2</v>
      </c>
      <c r="G38" s="575">
        <f t="shared" ref="G38:Q38" si="7">$D$38</f>
        <v>7.1500000000000008E-2</v>
      </c>
      <c r="H38" s="575">
        <f t="shared" si="7"/>
        <v>7.1500000000000008E-2</v>
      </c>
      <c r="I38" s="575">
        <f t="shared" si="7"/>
        <v>7.1500000000000008E-2</v>
      </c>
      <c r="J38" s="575">
        <f t="shared" si="7"/>
        <v>7.1500000000000008E-2</v>
      </c>
      <c r="K38" s="575">
        <f t="shared" si="7"/>
        <v>7.1500000000000008E-2</v>
      </c>
      <c r="L38" s="575">
        <f t="shared" si="7"/>
        <v>7.1500000000000008E-2</v>
      </c>
      <c r="M38" s="575">
        <f t="shared" si="7"/>
        <v>7.1500000000000008E-2</v>
      </c>
      <c r="N38" s="575">
        <f t="shared" si="7"/>
        <v>7.1500000000000008E-2</v>
      </c>
      <c r="O38" s="575">
        <f t="shared" si="7"/>
        <v>7.1500000000000008E-2</v>
      </c>
      <c r="P38" s="575">
        <f t="shared" si="7"/>
        <v>7.1500000000000008E-2</v>
      </c>
      <c r="Q38" s="575">
        <f t="shared" si="7"/>
        <v>7.1500000000000008E-2</v>
      </c>
    </row>
    <row r="39" spans="2:17" x14ac:dyDescent="0.25">
      <c r="B39" s="188" t="s">
        <v>352</v>
      </c>
      <c r="C39" s="572" t="s">
        <v>2</v>
      </c>
      <c r="D39" s="575">
        <f>'Данные по переработке'!B4/100</f>
        <v>2.0199999999999999E-2</v>
      </c>
      <c r="E39" s="575"/>
      <c r="F39" s="575">
        <f>$D$39</f>
        <v>2.0199999999999999E-2</v>
      </c>
      <c r="G39" s="575">
        <f t="shared" ref="G39:Q39" si="8">$D$39</f>
        <v>2.0199999999999999E-2</v>
      </c>
      <c r="H39" s="575">
        <f t="shared" si="8"/>
        <v>2.0199999999999999E-2</v>
      </c>
      <c r="I39" s="575">
        <f t="shared" si="8"/>
        <v>2.0199999999999999E-2</v>
      </c>
      <c r="J39" s="575">
        <f t="shared" si="8"/>
        <v>2.0199999999999999E-2</v>
      </c>
      <c r="K39" s="575">
        <f t="shared" si="8"/>
        <v>2.0199999999999999E-2</v>
      </c>
      <c r="L39" s="575">
        <f t="shared" si="8"/>
        <v>2.0199999999999999E-2</v>
      </c>
      <c r="M39" s="575">
        <f t="shared" si="8"/>
        <v>2.0199999999999999E-2</v>
      </c>
      <c r="N39" s="575">
        <f t="shared" si="8"/>
        <v>2.0199999999999999E-2</v>
      </c>
      <c r="O39" s="575">
        <f t="shared" si="8"/>
        <v>2.0199999999999999E-2</v>
      </c>
      <c r="P39" s="575">
        <f t="shared" si="8"/>
        <v>2.0199999999999999E-2</v>
      </c>
      <c r="Q39" s="575">
        <f t="shared" si="8"/>
        <v>2.0199999999999999E-2</v>
      </c>
    </row>
    <row r="40" spans="2:17" x14ac:dyDescent="0.25">
      <c r="B40" s="188" t="s">
        <v>236</v>
      </c>
      <c r="C40" s="572" t="s">
        <v>2</v>
      </c>
      <c r="D40" s="575">
        <f>'Данные по переработке'!B5/100</f>
        <v>8.14E-2</v>
      </c>
      <c r="E40" s="575"/>
      <c r="F40" s="575">
        <f>$D$40</f>
        <v>8.14E-2</v>
      </c>
      <c r="G40" s="575">
        <f t="shared" ref="G40:Q40" si="9">$D$40</f>
        <v>8.14E-2</v>
      </c>
      <c r="H40" s="575">
        <f t="shared" si="9"/>
        <v>8.14E-2</v>
      </c>
      <c r="I40" s="575">
        <f t="shared" si="9"/>
        <v>8.14E-2</v>
      </c>
      <c r="J40" s="575">
        <f t="shared" si="9"/>
        <v>8.14E-2</v>
      </c>
      <c r="K40" s="575">
        <f t="shared" si="9"/>
        <v>8.14E-2</v>
      </c>
      <c r="L40" s="575">
        <f t="shared" si="9"/>
        <v>8.14E-2</v>
      </c>
      <c r="M40" s="575">
        <f t="shared" si="9"/>
        <v>8.14E-2</v>
      </c>
      <c r="N40" s="575">
        <f t="shared" si="9"/>
        <v>8.14E-2</v>
      </c>
      <c r="O40" s="575">
        <f t="shared" si="9"/>
        <v>8.14E-2</v>
      </c>
      <c r="P40" s="575">
        <f t="shared" si="9"/>
        <v>8.14E-2</v>
      </c>
      <c r="Q40" s="575">
        <f t="shared" si="9"/>
        <v>8.14E-2</v>
      </c>
    </row>
    <row r="41" spans="2:17" x14ac:dyDescent="0.25">
      <c r="B41" s="283"/>
      <c r="C41" s="572"/>
      <c r="D41" s="575"/>
      <c r="E41" s="575"/>
      <c r="F41" s="575"/>
      <c r="G41" s="575"/>
      <c r="H41" s="575"/>
      <c r="I41" s="575"/>
      <c r="J41" s="575"/>
      <c r="K41" s="575"/>
      <c r="L41" s="575"/>
      <c r="M41" s="575"/>
      <c r="N41" s="575"/>
      <c r="O41" s="575"/>
      <c r="P41" s="575"/>
      <c r="Q41" s="575"/>
    </row>
    <row r="42" spans="2:17" x14ac:dyDescent="0.25">
      <c r="B42" s="189" t="s">
        <v>237</v>
      </c>
      <c r="C42" s="576"/>
      <c r="D42" s="172"/>
      <c r="E42" s="165"/>
      <c r="F42" s="172"/>
      <c r="G42" s="172"/>
      <c r="H42" s="172"/>
      <c r="I42" s="172"/>
      <c r="J42" s="172"/>
      <c r="K42" s="172"/>
      <c r="L42" s="172"/>
      <c r="M42" s="168"/>
      <c r="N42" s="168"/>
      <c r="O42" s="168"/>
      <c r="P42" s="168"/>
      <c r="Q42" s="168"/>
    </row>
    <row r="43" spans="2:17" x14ac:dyDescent="0.25">
      <c r="B43" s="188" t="s">
        <v>235</v>
      </c>
      <c r="C43" s="187" t="s">
        <v>231</v>
      </c>
      <c r="D43" s="190">
        <f>SUM(F43:Q43)</f>
        <v>1148113.6095000003</v>
      </c>
      <c r="E43" s="183"/>
      <c r="F43" s="190">
        <f>F36*1000*F38</f>
        <v>89375.000000000015</v>
      </c>
      <c r="G43" s="190">
        <f>G36*1000*G38</f>
        <v>92950.000000000015</v>
      </c>
      <c r="H43" s="190">
        <f t="shared" ref="H43:Q43" si="10">H36*1000*H38</f>
        <v>100100.00000000001</v>
      </c>
      <c r="I43" s="190">
        <f t="shared" si="10"/>
        <v>107250.00000000001</v>
      </c>
      <c r="J43" s="190">
        <f t="shared" si="10"/>
        <v>107250.00000000001</v>
      </c>
      <c r="K43" s="190">
        <f t="shared" si="10"/>
        <v>107250.00000000001</v>
      </c>
      <c r="L43" s="190">
        <f t="shared" si="10"/>
        <v>107250.00000000001</v>
      </c>
      <c r="M43" s="190">
        <f t="shared" si="10"/>
        <v>107250.00000000001</v>
      </c>
      <c r="N43" s="190">
        <f t="shared" si="10"/>
        <v>107250.00000000001</v>
      </c>
      <c r="O43" s="190">
        <f t="shared" si="10"/>
        <v>107250.00000000001</v>
      </c>
      <c r="P43" s="190">
        <f t="shared" si="10"/>
        <v>71500.000000000015</v>
      </c>
      <c r="Q43" s="190">
        <f t="shared" si="10"/>
        <v>43438.609500000006</v>
      </c>
    </row>
    <row r="44" spans="2:17" x14ac:dyDescent="0.25">
      <c r="B44" s="188" t="s">
        <v>352</v>
      </c>
      <c r="C44" s="187" t="s">
        <v>231</v>
      </c>
      <c r="D44" s="190">
        <f>SUM(F44:Q44)</f>
        <v>324362.1666</v>
      </c>
      <c r="E44" s="183"/>
      <c r="F44" s="190">
        <f>F36*1000*F39</f>
        <v>25250</v>
      </c>
      <c r="G44" s="190">
        <f t="shared" ref="G44:Q44" si="11">G36*1000*G39</f>
        <v>26260</v>
      </c>
      <c r="H44" s="190">
        <f t="shared" si="11"/>
        <v>28280</v>
      </c>
      <c r="I44" s="190">
        <f t="shared" si="11"/>
        <v>30300</v>
      </c>
      <c r="J44" s="190">
        <f t="shared" si="11"/>
        <v>30300</v>
      </c>
      <c r="K44" s="190">
        <f t="shared" si="11"/>
        <v>30300</v>
      </c>
      <c r="L44" s="190">
        <f t="shared" si="11"/>
        <v>30300</v>
      </c>
      <c r="M44" s="190">
        <f t="shared" si="11"/>
        <v>30300</v>
      </c>
      <c r="N44" s="190">
        <f t="shared" si="11"/>
        <v>30300</v>
      </c>
      <c r="O44" s="190">
        <f t="shared" si="11"/>
        <v>30300</v>
      </c>
      <c r="P44" s="190">
        <f t="shared" si="11"/>
        <v>20200</v>
      </c>
      <c r="Q44" s="190">
        <f t="shared" si="11"/>
        <v>12272.166599999999</v>
      </c>
    </row>
    <row r="45" spans="2:17" x14ac:dyDescent="0.25">
      <c r="B45" s="188" t="s">
        <v>236</v>
      </c>
      <c r="C45" s="187" t="s">
        <v>231</v>
      </c>
      <c r="D45" s="190">
        <f>SUM(F45:Q45)</f>
        <v>1307083.1861999999</v>
      </c>
      <c r="E45" s="183"/>
      <c r="F45" s="190">
        <f>F36*1000*F40</f>
        <v>101750</v>
      </c>
      <c r="G45" s="190">
        <f>G36*1000*G40</f>
        <v>105820</v>
      </c>
      <c r="H45" s="190">
        <f t="shared" ref="H45:Q45" si="12">H36*1000*H40</f>
        <v>113960</v>
      </c>
      <c r="I45" s="190">
        <f t="shared" si="12"/>
        <v>122100</v>
      </c>
      <c r="J45" s="190">
        <f t="shared" si="12"/>
        <v>122100</v>
      </c>
      <c r="K45" s="190">
        <f t="shared" si="12"/>
        <v>122100</v>
      </c>
      <c r="L45" s="190">
        <f t="shared" si="12"/>
        <v>122100</v>
      </c>
      <c r="M45" s="190">
        <f t="shared" si="12"/>
        <v>122100</v>
      </c>
      <c r="N45" s="190">
        <f t="shared" si="12"/>
        <v>122100</v>
      </c>
      <c r="O45" s="190">
        <f t="shared" si="12"/>
        <v>122100</v>
      </c>
      <c r="P45" s="190">
        <f t="shared" si="12"/>
        <v>81400</v>
      </c>
      <c r="Q45" s="190">
        <f t="shared" si="12"/>
        <v>49453.186199999996</v>
      </c>
    </row>
    <row r="46" spans="2:17" x14ac:dyDescent="0.25">
      <c r="B46" s="189" t="s">
        <v>238</v>
      </c>
      <c r="C46" s="577"/>
      <c r="D46" s="123"/>
      <c r="E46" s="191"/>
      <c r="F46" s="123"/>
      <c r="G46" s="167"/>
      <c r="H46" s="167"/>
      <c r="I46" s="167"/>
      <c r="J46" s="167"/>
      <c r="K46" s="167"/>
      <c r="L46" s="170"/>
      <c r="M46" s="168"/>
      <c r="N46" s="168"/>
      <c r="O46" s="168"/>
      <c r="P46" s="168"/>
      <c r="Q46" s="168"/>
    </row>
    <row r="47" spans="2:17" x14ac:dyDescent="0.25">
      <c r="B47" s="192" t="s">
        <v>239</v>
      </c>
      <c r="C47" s="578"/>
      <c r="D47" s="193"/>
      <c r="E47" s="191"/>
      <c r="F47" s="193"/>
      <c r="G47" s="193"/>
      <c r="H47" s="193"/>
      <c r="I47" s="193"/>
      <c r="J47" s="193"/>
      <c r="K47" s="193"/>
      <c r="L47" s="193"/>
      <c r="M47" s="168"/>
      <c r="N47" s="168"/>
      <c r="O47" s="168"/>
      <c r="P47" s="168"/>
      <c r="Q47" s="168"/>
    </row>
    <row r="48" spans="2:17" x14ac:dyDescent="0.25">
      <c r="B48" s="196" t="s">
        <v>219</v>
      </c>
      <c r="C48" s="185" t="s">
        <v>2</v>
      </c>
      <c r="D48" s="176">
        <f>'Данные по переработке'!H3/100</f>
        <v>0.87650000000000006</v>
      </c>
      <c r="E48" s="176"/>
      <c r="F48" s="176">
        <f>D48</f>
        <v>0.87650000000000006</v>
      </c>
      <c r="G48" s="176">
        <f>F48</f>
        <v>0.87650000000000006</v>
      </c>
      <c r="H48" s="176">
        <f t="shared" ref="H48:Q48" si="13">G48</f>
        <v>0.87650000000000006</v>
      </c>
      <c r="I48" s="176">
        <f t="shared" si="13"/>
        <v>0.87650000000000006</v>
      </c>
      <c r="J48" s="176">
        <f t="shared" si="13"/>
        <v>0.87650000000000006</v>
      </c>
      <c r="K48" s="176">
        <f t="shared" si="13"/>
        <v>0.87650000000000006</v>
      </c>
      <c r="L48" s="176">
        <f t="shared" si="13"/>
        <v>0.87650000000000006</v>
      </c>
      <c r="M48" s="176">
        <f t="shared" si="13"/>
        <v>0.87650000000000006</v>
      </c>
      <c r="N48" s="176">
        <f t="shared" si="13"/>
        <v>0.87650000000000006</v>
      </c>
      <c r="O48" s="176">
        <f t="shared" si="13"/>
        <v>0.87650000000000006</v>
      </c>
      <c r="P48" s="176">
        <f t="shared" si="13"/>
        <v>0.87650000000000006</v>
      </c>
      <c r="Q48" s="176">
        <f t="shared" si="13"/>
        <v>0.87650000000000006</v>
      </c>
    </row>
    <row r="49" spans="2:17" x14ac:dyDescent="0.25">
      <c r="B49" s="196" t="s">
        <v>222</v>
      </c>
      <c r="C49" s="185" t="s">
        <v>2</v>
      </c>
      <c r="D49" s="176">
        <f>'Данные по переработке'!K3/100</f>
        <v>0.49</v>
      </c>
      <c r="E49" s="176"/>
      <c r="F49" s="176">
        <f t="shared" ref="F49:F50" si="14">D49</f>
        <v>0.49</v>
      </c>
      <c r="G49" s="176">
        <f t="shared" ref="G49:Q50" si="15">F49</f>
        <v>0.49</v>
      </c>
      <c r="H49" s="176">
        <f t="shared" si="15"/>
        <v>0.49</v>
      </c>
      <c r="I49" s="176">
        <f t="shared" si="15"/>
        <v>0.49</v>
      </c>
      <c r="J49" s="176">
        <f t="shared" si="15"/>
        <v>0.49</v>
      </c>
      <c r="K49" s="176">
        <f t="shared" si="15"/>
        <v>0.49</v>
      </c>
      <c r="L49" s="176">
        <f t="shared" si="15"/>
        <v>0.49</v>
      </c>
      <c r="M49" s="176">
        <f t="shared" si="15"/>
        <v>0.49</v>
      </c>
      <c r="N49" s="176">
        <f t="shared" si="15"/>
        <v>0.49</v>
      </c>
      <c r="O49" s="176">
        <f t="shared" si="15"/>
        <v>0.49</v>
      </c>
      <c r="P49" s="176">
        <f t="shared" si="15"/>
        <v>0.49</v>
      </c>
      <c r="Q49" s="176">
        <f t="shared" si="15"/>
        <v>0.49</v>
      </c>
    </row>
    <row r="50" spans="2:17" x14ac:dyDescent="0.25">
      <c r="B50" s="196" t="s">
        <v>224</v>
      </c>
      <c r="C50" s="185" t="s">
        <v>2</v>
      </c>
      <c r="D50" s="176">
        <f>'Данные по переработке'!L3/100</f>
        <v>0.5827</v>
      </c>
      <c r="E50" s="176"/>
      <c r="F50" s="176">
        <f t="shared" si="14"/>
        <v>0.5827</v>
      </c>
      <c r="G50" s="176">
        <f t="shared" si="15"/>
        <v>0.5827</v>
      </c>
      <c r="H50" s="176">
        <f t="shared" si="15"/>
        <v>0.5827</v>
      </c>
      <c r="I50" s="176">
        <f t="shared" si="15"/>
        <v>0.5827</v>
      </c>
      <c r="J50" s="176">
        <f t="shared" si="15"/>
        <v>0.5827</v>
      </c>
      <c r="K50" s="176">
        <f t="shared" si="15"/>
        <v>0.5827</v>
      </c>
      <c r="L50" s="176">
        <f t="shared" si="15"/>
        <v>0.5827</v>
      </c>
      <c r="M50" s="176">
        <f t="shared" si="15"/>
        <v>0.5827</v>
      </c>
      <c r="N50" s="176">
        <f t="shared" si="15"/>
        <v>0.5827</v>
      </c>
      <c r="O50" s="176">
        <f t="shared" si="15"/>
        <v>0.5827</v>
      </c>
      <c r="P50" s="176">
        <f t="shared" si="15"/>
        <v>0.5827</v>
      </c>
      <c r="Q50" s="176">
        <f t="shared" si="15"/>
        <v>0.5827</v>
      </c>
    </row>
    <row r="51" spans="2:17" x14ac:dyDescent="0.25">
      <c r="B51" s="195" t="s">
        <v>353</v>
      </c>
      <c r="C51" s="578"/>
      <c r="D51" s="193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O51" s="176"/>
      <c r="P51" s="176"/>
      <c r="Q51" s="176"/>
    </row>
    <row r="52" spans="2:17" x14ac:dyDescent="0.25">
      <c r="B52" s="196" t="s">
        <v>221</v>
      </c>
      <c r="C52" s="185" t="s">
        <v>2</v>
      </c>
      <c r="D52" s="176">
        <f>'Данные по переработке'!I4/100</f>
        <v>0.65239999999999998</v>
      </c>
      <c r="E52" s="176"/>
      <c r="F52" s="176">
        <f>D52</f>
        <v>0.65239999999999998</v>
      </c>
      <c r="G52" s="176">
        <f>F52</f>
        <v>0.65239999999999998</v>
      </c>
      <c r="H52" s="176">
        <f t="shared" ref="H52:Q53" si="16">G52</f>
        <v>0.65239999999999998</v>
      </c>
      <c r="I52" s="176">
        <f t="shared" si="16"/>
        <v>0.65239999999999998</v>
      </c>
      <c r="J52" s="176">
        <f t="shared" si="16"/>
        <v>0.65239999999999998</v>
      </c>
      <c r="K52" s="176">
        <f t="shared" si="16"/>
        <v>0.65239999999999998</v>
      </c>
      <c r="L52" s="176">
        <f t="shared" si="16"/>
        <v>0.65239999999999998</v>
      </c>
      <c r="M52" s="176">
        <f t="shared" si="16"/>
        <v>0.65239999999999998</v>
      </c>
      <c r="N52" s="176">
        <f t="shared" si="16"/>
        <v>0.65239999999999998</v>
      </c>
      <c r="O52" s="176">
        <f t="shared" si="16"/>
        <v>0.65239999999999998</v>
      </c>
      <c r="P52" s="176">
        <f t="shared" si="16"/>
        <v>0.65239999999999998</v>
      </c>
      <c r="Q52" s="176">
        <f t="shared" si="16"/>
        <v>0.65239999999999998</v>
      </c>
    </row>
    <row r="53" spans="2:17" x14ac:dyDescent="0.25">
      <c r="B53" s="196" t="s">
        <v>222</v>
      </c>
      <c r="C53" s="185" t="s">
        <v>2</v>
      </c>
      <c r="D53" s="176">
        <f>'Данные по переработке'!K4/100</f>
        <v>0.1404</v>
      </c>
      <c r="F53" s="176">
        <f>D53</f>
        <v>0.1404</v>
      </c>
      <c r="G53" s="176">
        <f>F53</f>
        <v>0.1404</v>
      </c>
      <c r="H53" s="176">
        <f t="shared" si="16"/>
        <v>0.1404</v>
      </c>
      <c r="I53" s="176">
        <f t="shared" si="16"/>
        <v>0.1404</v>
      </c>
      <c r="J53" s="176">
        <f t="shared" si="16"/>
        <v>0.1404</v>
      </c>
      <c r="K53" s="176">
        <f t="shared" si="16"/>
        <v>0.1404</v>
      </c>
      <c r="L53" s="176">
        <f t="shared" si="16"/>
        <v>0.1404</v>
      </c>
      <c r="M53" s="176">
        <f t="shared" si="16"/>
        <v>0.1404</v>
      </c>
      <c r="N53" s="176">
        <f t="shared" si="16"/>
        <v>0.1404</v>
      </c>
      <c r="O53" s="176">
        <f t="shared" si="16"/>
        <v>0.1404</v>
      </c>
      <c r="P53" s="176">
        <f t="shared" si="16"/>
        <v>0.1404</v>
      </c>
      <c r="Q53" s="176">
        <f t="shared" si="16"/>
        <v>0.1404</v>
      </c>
    </row>
    <row r="54" spans="2:17" x14ac:dyDescent="0.25">
      <c r="B54" s="196" t="s">
        <v>224</v>
      </c>
      <c r="C54" s="185" t="s">
        <v>2</v>
      </c>
      <c r="D54" s="176">
        <f>'Данные по переработке'!L4/100</f>
        <v>9.3000000000000013E-2</v>
      </c>
      <c r="E54" s="176"/>
      <c r="F54" s="176">
        <f t="shared" ref="F54" si="17">D54</f>
        <v>9.3000000000000013E-2</v>
      </c>
      <c r="G54" s="176">
        <f t="shared" ref="G54:Q54" si="18">F54</f>
        <v>9.3000000000000013E-2</v>
      </c>
      <c r="H54" s="176">
        <f t="shared" si="18"/>
        <v>9.3000000000000013E-2</v>
      </c>
      <c r="I54" s="176">
        <f t="shared" si="18"/>
        <v>9.3000000000000013E-2</v>
      </c>
      <c r="J54" s="176">
        <f t="shared" si="18"/>
        <v>9.3000000000000013E-2</v>
      </c>
      <c r="K54" s="176">
        <f t="shared" si="18"/>
        <v>9.3000000000000013E-2</v>
      </c>
      <c r="L54" s="176">
        <f t="shared" si="18"/>
        <v>9.3000000000000013E-2</v>
      </c>
      <c r="M54" s="176">
        <f t="shared" si="18"/>
        <v>9.3000000000000013E-2</v>
      </c>
      <c r="N54" s="176">
        <f t="shared" si="18"/>
        <v>9.3000000000000013E-2</v>
      </c>
      <c r="O54" s="176">
        <f t="shared" si="18"/>
        <v>9.3000000000000013E-2</v>
      </c>
      <c r="P54" s="176">
        <f t="shared" si="18"/>
        <v>9.3000000000000013E-2</v>
      </c>
      <c r="Q54" s="176">
        <f t="shared" si="18"/>
        <v>9.3000000000000013E-2</v>
      </c>
    </row>
    <row r="55" spans="2:17" x14ac:dyDescent="0.25">
      <c r="B55" s="195" t="s">
        <v>240</v>
      </c>
      <c r="C55" s="578"/>
      <c r="D55" s="176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</row>
    <row r="56" spans="2:17" x14ac:dyDescent="0.25">
      <c r="B56" s="196" t="s">
        <v>220</v>
      </c>
      <c r="C56" s="185" t="s">
        <v>2</v>
      </c>
      <c r="D56" s="176">
        <f>'Данные по переработке'!J5/100</f>
        <v>0.85040000000000004</v>
      </c>
      <c r="E56" s="176"/>
      <c r="F56" s="176">
        <f>D56</f>
        <v>0.85040000000000004</v>
      </c>
      <c r="G56" s="176">
        <f>F56</f>
        <v>0.85040000000000004</v>
      </c>
      <c r="H56" s="176">
        <f t="shared" ref="H56:Q56" si="19">G56</f>
        <v>0.85040000000000004</v>
      </c>
      <c r="I56" s="176">
        <f t="shared" si="19"/>
        <v>0.85040000000000004</v>
      </c>
      <c r="J56" s="176">
        <f t="shared" si="19"/>
        <v>0.85040000000000004</v>
      </c>
      <c r="K56" s="176">
        <f t="shared" si="19"/>
        <v>0.85040000000000004</v>
      </c>
      <c r="L56" s="176">
        <f t="shared" si="19"/>
        <v>0.85040000000000004</v>
      </c>
      <c r="M56" s="176">
        <f t="shared" si="19"/>
        <v>0.85040000000000004</v>
      </c>
      <c r="N56" s="176">
        <f t="shared" si="19"/>
        <v>0.85040000000000004</v>
      </c>
      <c r="O56" s="176">
        <f t="shared" si="19"/>
        <v>0.85040000000000004</v>
      </c>
      <c r="P56" s="176">
        <f t="shared" si="19"/>
        <v>0.85040000000000004</v>
      </c>
      <c r="Q56" s="176">
        <f t="shared" si="19"/>
        <v>0.85040000000000004</v>
      </c>
    </row>
    <row r="57" spans="2:17" x14ac:dyDescent="0.25">
      <c r="B57" s="196" t="s">
        <v>224</v>
      </c>
      <c r="C57" s="185" t="s">
        <v>2</v>
      </c>
      <c r="D57" s="176">
        <f>'Данные по переработке'!L5/100</f>
        <v>0.1115</v>
      </c>
      <c r="E57" s="176"/>
      <c r="F57" s="176">
        <f t="shared" ref="F57" si="20">D57</f>
        <v>0.1115</v>
      </c>
      <c r="G57" s="176">
        <f t="shared" ref="G57:Q57" si="21">F57</f>
        <v>0.1115</v>
      </c>
      <c r="H57" s="176">
        <f t="shared" si="21"/>
        <v>0.1115</v>
      </c>
      <c r="I57" s="176">
        <f t="shared" si="21"/>
        <v>0.1115</v>
      </c>
      <c r="J57" s="176">
        <f t="shared" si="21"/>
        <v>0.1115</v>
      </c>
      <c r="K57" s="176">
        <f t="shared" si="21"/>
        <v>0.1115</v>
      </c>
      <c r="L57" s="176">
        <f t="shared" si="21"/>
        <v>0.1115</v>
      </c>
      <c r="M57" s="176">
        <f t="shared" si="21"/>
        <v>0.1115</v>
      </c>
      <c r="N57" s="176">
        <f t="shared" si="21"/>
        <v>0.1115</v>
      </c>
      <c r="O57" s="176">
        <f t="shared" si="21"/>
        <v>0.1115</v>
      </c>
      <c r="P57" s="176">
        <f t="shared" si="21"/>
        <v>0.1115</v>
      </c>
      <c r="Q57" s="176">
        <f t="shared" si="21"/>
        <v>0.1115</v>
      </c>
    </row>
    <row r="58" spans="2:17" x14ac:dyDescent="0.25">
      <c r="B58" s="194" t="s">
        <v>241</v>
      </c>
      <c r="C58" s="572"/>
      <c r="D58" s="172"/>
      <c r="E58" s="172"/>
      <c r="F58" s="172"/>
      <c r="G58" s="172"/>
      <c r="H58" s="172"/>
      <c r="I58" s="172"/>
      <c r="J58" s="172"/>
      <c r="K58" s="172"/>
      <c r="L58" s="172"/>
      <c r="M58" s="168"/>
      <c r="N58" s="168"/>
      <c r="O58" s="168"/>
      <c r="P58" s="168"/>
      <c r="Q58" s="168"/>
    </row>
    <row r="59" spans="2:17" x14ac:dyDescent="0.25">
      <c r="B59" s="195" t="s">
        <v>242</v>
      </c>
      <c r="C59" s="578"/>
      <c r="D59" s="170"/>
      <c r="E59" s="170"/>
      <c r="F59" s="123"/>
      <c r="G59" s="167"/>
      <c r="H59" s="167"/>
      <c r="I59" s="167"/>
      <c r="J59" s="167"/>
      <c r="K59" s="167"/>
      <c r="L59" s="170"/>
      <c r="M59" s="168"/>
      <c r="N59" s="168"/>
      <c r="O59" s="168"/>
      <c r="P59" s="168"/>
      <c r="Q59" s="168"/>
    </row>
    <row r="60" spans="2:17" x14ac:dyDescent="0.25">
      <c r="B60" s="196" t="s">
        <v>219</v>
      </c>
      <c r="C60" s="185" t="s">
        <v>231</v>
      </c>
      <c r="D60" s="165">
        <f>SUM(F60:Q60)</f>
        <v>276861.60364872147</v>
      </c>
      <c r="E60" s="183"/>
      <c r="F60" s="190">
        <f t="shared" ref="F60:Q60" si="22">F30*F48</f>
        <v>21394.375345515407</v>
      </c>
      <c r="G60" s="190">
        <f t="shared" si="22"/>
        <v>21426.283664139868</v>
      </c>
      <c r="H60" s="190">
        <f t="shared" si="22"/>
        <v>23074.459330612161</v>
      </c>
      <c r="I60" s="190">
        <f t="shared" si="22"/>
        <v>24722.63499708446</v>
      </c>
      <c r="J60" s="190">
        <f t="shared" si="22"/>
        <v>24722.63499708446</v>
      </c>
      <c r="K60" s="190">
        <f t="shared" si="22"/>
        <v>24722.63499708446</v>
      </c>
      <c r="L60" s="190">
        <f t="shared" si="22"/>
        <v>24722.63499708446</v>
      </c>
      <c r="M60" s="190">
        <f t="shared" si="22"/>
        <v>24722.63499708446</v>
      </c>
      <c r="N60" s="190">
        <f t="shared" si="22"/>
        <v>24722.63499708446</v>
      </c>
      <c r="O60" s="190">
        <f t="shared" si="22"/>
        <v>24722.63499708446</v>
      </c>
      <c r="P60" s="190">
        <f t="shared" si="22"/>
        <v>24722.63499708446</v>
      </c>
      <c r="Q60" s="190">
        <f t="shared" si="22"/>
        <v>13185.405331778378</v>
      </c>
    </row>
    <row r="61" spans="2:17" x14ac:dyDescent="0.25">
      <c r="B61" s="196" t="s">
        <v>222</v>
      </c>
      <c r="C61" s="185" t="s">
        <v>71</v>
      </c>
      <c r="D61" s="165">
        <f>SUM(F61:Q61)</f>
        <v>6509.3547168148034</v>
      </c>
      <c r="E61" s="183"/>
      <c r="F61" s="190">
        <f t="shared" ref="F61:Q62" si="23">F33*F49</f>
        <v>513.80090578048328</v>
      </c>
      <c r="G61" s="190">
        <f t="shared" si="23"/>
        <v>502.85290028029789</v>
      </c>
      <c r="H61" s="190">
        <f t="shared" si="23"/>
        <v>541.53389260955157</v>
      </c>
      <c r="I61" s="190">
        <f t="shared" si="23"/>
        <v>580.21488493880531</v>
      </c>
      <c r="J61" s="190">
        <f t="shared" si="23"/>
        <v>580.21488493880531</v>
      </c>
      <c r="K61" s="190">
        <f t="shared" si="23"/>
        <v>580.21488493880531</v>
      </c>
      <c r="L61" s="190">
        <f t="shared" si="23"/>
        <v>580.21488493880531</v>
      </c>
      <c r="M61" s="190">
        <f t="shared" si="23"/>
        <v>580.21488493880531</v>
      </c>
      <c r="N61" s="190">
        <f t="shared" si="23"/>
        <v>580.21488493880531</v>
      </c>
      <c r="O61" s="190">
        <f t="shared" si="23"/>
        <v>580.21488493880531</v>
      </c>
      <c r="P61" s="190">
        <f t="shared" si="23"/>
        <v>580.21488493880531</v>
      </c>
      <c r="Q61" s="190">
        <f t="shared" si="23"/>
        <v>309.44793863402947</v>
      </c>
    </row>
    <row r="62" spans="2:17" x14ac:dyDescent="0.25">
      <c r="B62" s="196" t="s">
        <v>224</v>
      </c>
      <c r="C62" s="185" t="s">
        <v>71</v>
      </c>
      <c r="D62" s="165">
        <f>SUM(F62:Q62)</f>
        <v>882927.58172631683</v>
      </c>
      <c r="E62" s="183"/>
      <c r="F62" s="190">
        <f t="shared" si="23"/>
        <v>70042.428201766743</v>
      </c>
      <c r="G62" s="190">
        <f t="shared" si="23"/>
        <v>68177.464489155827</v>
      </c>
      <c r="H62" s="190">
        <f t="shared" si="23"/>
        <v>73421.884834475495</v>
      </c>
      <c r="I62" s="190">
        <f t="shared" si="23"/>
        <v>78666.305179795178</v>
      </c>
      <c r="J62" s="190">
        <f t="shared" si="23"/>
        <v>78666.305179795178</v>
      </c>
      <c r="K62" s="190">
        <f t="shared" si="23"/>
        <v>78666.305179795178</v>
      </c>
      <c r="L62" s="190">
        <f t="shared" si="23"/>
        <v>78666.305179795178</v>
      </c>
      <c r="M62" s="190">
        <f t="shared" si="23"/>
        <v>78666.305179795178</v>
      </c>
      <c r="N62" s="190">
        <f t="shared" si="23"/>
        <v>78666.305179795178</v>
      </c>
      <c r="O62" s="190">
        <f t="shared" si="23"/>
        <v>78666.305179795178</v>
      </c>
      <c r="P62" s="190">
        <f t="shared" si="23"/>
        <v>78666.305179795178</v>
      </c>
      <c r="Q62" s="190">
        <f t="shared" si="23"/>
        <v>41955.362762557423</v>
      </c>
    </row>
    <row r="63" spans="2:17" x14ac:dyDescent="0.25">
      <c r="B63" s="195" t="s">
        <v>354</v>
      </c>
      <c r="C63" s="578"/>
      <c r="D63" s="165"/>
      <c r="E63" s="183"/>
      <c r="F63" s="190"/>
      <c r="G63" s="190"/>
      <c r="H63" s="190"/>
      <c r="I63" s="190"/>
      <c r="J63" s="190"/>
      <c r="K63" s="190"/>
      <c r="L63" s="190"/>
      <c r="M63" s="190"/>
      <c r="N63" s="190"/>
      <c r="O63" s="190"/>
      <c r="P63" s="190"/>
      <c r="Q63" s="190"/>
    </row>
    <row r="64" spans="2:17" x14ac:dyDescent="0.25">
      <c r="B64" s="196" t="s">
        <v>221</v>
      </c>
      <c r="C64" s="185" t="s">
        <v>231</v>
      </c>
      <c r="D64" s="165">
        <f>SUM(F64:Q64)</f>
        <v>128704.78633081629</v>
      </c>
      <c r="E64" s="183"/>
      <c r="F64" s="190">
        <f>F32*F52</f>
        <v>10231.831346695659</v>
      </c>
      <c r="G64" s="190">
        <f t="shared" ref="G64:Q66" si="24">G32*G52</f>
        <v>9936.4413857649542</v>
      </c>
      <c r="H64" s="190">
        <f t="shared" si="24"/>
        <v>10700.783030823799</v>
      </c>
      <c r="I64" s="190">
        <f t="shared" si="24"/>
        <v>11465.12467588264</v>
      </c>
      <c r="J64" s="190">
        <f t="shared" si="24"/>
        <v>11465.12467588264</v>
      </c>
      <c r="K64" s="190">
        <f t="shared" si="24"/>
        <v>11465.12467588264</v>
      </c>
      <c r="L64" s="190">
        <f t="shared" si="24"/>
        <v>11465.12467588264</v>
      </c>
      <c r="M64" s="190">
        <f t="shared" si="24"/>
        <v>11465.12467588264</v>
      </c>
      <c r="N64" s="190">
        <f t="shared" si="24"/>
        <v>11465.12467588264</v>
      </c>
      <c r="O64" s="190">
        <f t="shared" si="24"/>
        <v>11465.12467588264</v>
      </c>
      <c r="P64" s="190">
        <f t="shared" si="24"/>
        <v>11465.12467588264</v>
      </c>
      <c r="Q64" s="190">
        <f t="shared" si="24"/>
        <v>6114.7331604707415</v>
      </c>
    </row>
    <row r="65" spans="2:17" x14ac:dyDescent="0.25">
      <c r="B65" s="196" t="s">
        <v>222</v>
      </c>
      <c r="C65" s="185" t="s">
        <v>71</v>
      </c>
      <c r="D65" s="165">
        <f>SUM(F65:Q65)</f>
        <v>1865.1293923281601</v>
      </c>
      <c r="E65" s="183"/>
      <c r="F65" s="190">
        <f>F33*F53</f>
        <v>147.21968810526499</v>
      </c>
      <c r="G65" s="190">
        <f t="shared" si="24"/>
        <v>144.08274938643638</v>
      </c>
      <c r="H65" s="190">
        <f t="shared" si="24"/>
        <v>155.16603780077764</v>
      </c>
      <c r="I65" s="190">
        <f t="shared" si="24"/>
        <v>166.24932621511891</v>
      </c>
      <c r="J65" s="190">
        <f t="shared" si="24"/>
        <v>166.24932621511891</v>
      </c>
      <c r="K65" s="190">
        <f t="shared" si="24"/>
        <v>166.24932621511891</v>
      </c>
      <c r="L65" s="190">
        <f t="shared" si="24"/>
        <v>166.24932621511891</v>
      </c>
      <c r="M65" s="190">
        <f t="shared" si="24"/>
        <v>166.24932621511891</v>
      </c>
      <c r="N65" s="190">
        <f t="shared" si="24"/>
        <v>166.24932621511891</v>
      </c>
      <c r="O65" s="190">
        <f t="shared" si="24"/>
        <v>166.24932621511891</v>
      </c>
      <c r="P65" s="190">
        <f t="shared" si="24"/>
        <v>166.24932621511891</v>
      </c>
      <c r="Q65" s="190">
        <f t="shared" si="24"/>
        <v>88.666307314730076</v>
      </c>
    </row>
    <row r="66" spans="2:17" x14ac:dyDescent="0.25">
      <c r="B66" s="196" t="s">
        <v>224</v>
      </c>
      <c r="C66" s="185" t="s">
        <v>71</v>
      </c>
      <c r="D66" s="165">
        <f>SUM(F66:Q66)</f>
        <v>140916.87849759308</v>
      </c>
      <c r="E66" s="183"/>
      <c r="F66" s="190">
        <f>F34*F54</f>
        <v>11178.901360501644</v>
      </c>
      <c r="G66" s="190">
        <f t="shared" si="24"/>
        <v>10881.249695368959</v>
      </c>
      <c r="H66" s="190">
        <f t="shared" si="24"/>
        <v>11718.268902705031</v>
      </c>
      <c r="I66" s="190">
        <f t="shared" si="24"/>
        <v>12555.288110041105</v>
      </c>
      <c r="J66" s="190">
        <f t="shared" si="24"/>
        <v>12555.288110041105</v>
      </c>
      <c r="K66" s="190">
        <f t="shared" si="24"/>
        <v>12555.288110041105</v>
      </c>
      <c r="L66" s="190">
        <f t="shared" si="24"/>
        <v>12555.288110041105</v>
      </c>
      <c r="M66" s="190">
        <f t="shared" si="24"/>
        <v>12555.288110041105</v>
      </c>
      <c r="N66" s="190">
        <f t="shared" si="24"/>
        <v>12555.288110041105</v>
      </c>
      <c r="O66" s="190">
        <f t="shared" si="24"/>
        <v>12555.288110041105</v>
      </c>
      <c r="P66" s="190">
        <f t="shared" si="24"/>
        <v>12555.288110041105</v>
      </c>
      <c r="Q66" s="190">
        <f t="shared" si="24"/>
        <v>6696.1536586885886</v>
      </c>
    </row>
    <row r="67" spans="2:17" x14ac:dyDescent="0.25">
      <c r="B67" s="195" t="s">
        <v>243</v>
      </c>
      <c r="C67" s="578"/>
      <c r="D67" s="165"/>
      <c r="E67" s="183"/>
      <c r="F67" s="167"/>
      <c r="G67" s="167"/>
      <c r="H67" s="167"/>
      <c r="I67" s="167"/>
      <c r="J67" s="167"/>
      <c r="K67" s="167"/>
      <c r="L67" s="197"/>
      <c r="M67" s="167"/>
      <c r="N67" s="197"/>
      <c r="O67" s="167"/>
      <c r="P67" s="197"/>
      <c r="Q67" s="167"/>
    </row>
    <row r="68" spans="2:17" x14ac:dyDescent="0.25">
      <c r="B68" s="196" t="s">
        <v>220</v>
      </c>
      <c r="C68" s="185" t="s">
        <v>231</v>
      </c>
      <c r="D68" s="165">
        <f>SUM(F68:Q68)</f>
        <v>543750.18608445325</v>
      </c>
      <c r="E68" s="183"/>
      <c r="F68" s="183">
        <f t="shared" ref="F68:Q68" si="25">F31*F56</f>
        <v>43300.735237473906</v>
      </c>
      <c r="G68" s="183">
        <f t="shared" si="25"/>
        <v>41973.179748456329</v>
      </c>
      <c r="H68" s="183">
        <f t="shared" si="25"/>
        <v>45201.885882952971</v>
      </c>
      <c r="I68" s="183">
        <f t="shared" si="25"/>
        <v>48430.592017449606</v>
      </c>
      <c r="J68" s="183">
        <f t="shared" si="25"/>
        <v>48430.592017449606</v>
      </c>
      <c r="K68" s="183">
        <f t="shared" si="25"/>
        <v>48430.592017449606</v>
      </c>
      <c r="L68" s="183">
        <f t="shared" si="25"/>
        <v>48430.592017449606</v>
      </c>
      <c r="M68" s="183">
        <f t="shared" si="25"/>
        <v>48430.592017449606</v>
      </c>
      <c r="N68" s="183">
        <f t="shared" si="25"/>
        <v>48430.592017449606</v>
      </c>
      <c r="O68" s="183">
        <f t="shared" si="25"/>
        <v>48430.592017449606</v>
      </c>
      <c r="P68" s="183">
        <f t="shared" si="25"/>
        <v>48430.592017449606</v>
      </c>
      <c r="Q68" s="183">
        <f t="shared" si="25"/>
        <v>25829.649075973124</v>
      </c>
    </row>
    <row r="69" spans="2:17" x14ac:dyDescent="0.25">
      <c r="B69" s="196" t="s">
        <v>224</v>
      </c>
      <c r="C69" s="185" t="s">
        <v>71</v>
      </c>
      <c r="D69" s="165">
        <f>SUM(F69:Q69)</f>
        <v>168948.73067184543</v>
      </c>
      <c r="E69" s="183"/>
      <c r="F69" s="183">
        <f>F34*F57</f>
        <v>13402.661308558421</v>
      </c>
      <c r="G69" s="183">
        <f t="shared" ref="G69:Q69" si="26">G34*G57</f>
        <v>13045.799365953106</v>
      </c>
      <c r="H69" s="183">
        <f t="shared" si="26"/>
        <v>14049.322394103343</v>
      </c>
      <c r="I69" s="183">
        <f t="shared" si="26"/>
        <v>15052.845422253582</v>
      </c>
      <c r="J69" s="183">
        <f t="shared" si="26"/>
        <v>15052.845422253582</v>
      </c>
      <c r="K69" s="183">
        <f t="shared" si="26"/>
        <v>15052.845422253582</v>
      </c>
      <c r="L69" s="183">
        <f t="shared" si="26"/>
        <v>15052.845422253582</v>
      </c>
      <c r="M69" s="183">
        <f t="shared" si="26"/>
        <v>15052.845422253582</v>
      </c>
      <c r="N69" s="183">
        <f t="shared" si="26"/>
        <v>15052.845422253582</v>
      </c>
      <c r="O69" s="183">
        <f t="shared" si="26"/>
        <v>15052.845422253582</v>
      </c>
      <c r="P69" s="183">
        <f t="shared" si="26"/>
        <v>15052.845422253582</v>
      </c>
      <c r="Q69" s="183">
        <f t="shared" si="26"/>
        <v>8028.1842252019096</v>
      </c>
    </row>
    <row r="70" spans="2:17" x14ac:dyDescent="0.25">
      <c r="B70" s="189" t="s">
        <v>244</v>
      </c>
      <c r="C70" s="572"/>
      <c r="D70" s="193"/>
      <c r="E70" s="193"/>
      <c r="F70" s="193"/>
      <c r="G70" s="193"/>
      <c r="H70" s="193"/>
      <c r="I70" s="193"/>
      <c r="J70" s="193"/>
      <c r="K70" s="193"/>
      <c r="L70" s="177"/>
      <c r="M70" s="193"/>
      <c r="N70" s="177"/>
      <c r="O70" s="193"/>
      <c r="P70" s="177"/>
      <c r="Q70" s="193"/>
    </row>
    <row r="71" spans="2:17" x14ac:dyDescent="0.25">
      <c r="B71" s="195" t="s">
        <v>242</v>
      </c>
      <c r="C71" s="578"/>
      <c r="D71" s="191"/>
      <c r="E71" s="191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72"/>
    </row>
    <row r="72" spans="2:17" x14ac:dyDescent="0.25">
      <c r="B72" s="196" t="s">
        <v>219</v>
      </c>
      <c r="C72" s="185" t="s">
        <v>2</v>
      </c>
      <c r="D72" s="172">
        <f>AVERAGE(F72:Q72)</f>
        <v>24.694305038891333</v>
      </c>
      <c r="E72" s="172"/>
      <c r="F72" s="172">
        <f>F60/F43*100</f>
        <v>23.937762624352899</v>
      </c>
      <c r="G72" s="172">
        <f>G60/G43*100</f>
        <v>23.051407922689474</v>
      </c>
      <c r="H72" s="172">
        <f t="shared" ref="H72:Q72" si="27">H60/H43*100</f>
        <v>23.051407922689467</v>
      </c>
      <c r="I72" s="172">
        <f t="shared" si="27"/>
        <v>23.051407922689471</v>
      </c>
      <c r="J72" s="172">
        <f t="shared" si="27"/>
        <v>23.051407922689471</v>
      </c>
      <c r="K72" s="172">
        <f t="shared" si="27"/>
        <v>23.051407922689471</v>
      </c>
      <c r="L72" s="172">
        <f t="shared" si="27"/>
        <v>23.051407922689471</v>
      </c>
      <c r="M72" s="172">
        <f t="shared" si="27"/>
        <v>23.051407922689471</v>
      </c>
      <c r="N72" s="172">
        <f t="shared" si="27"/>
        <v>23.051407922689471</v>
      </c>
      <c r="O72" s="172">
        <f t="shared" si="27"/>
        <v>23.051407922689471</v>
      </c>
      <c r="P72" s="172">
        <f t="shared" si="27"/>
        <v>34.577111884034203</v>
      </c>
      <c r="Q72" s="172">
        <f t="shared" si="27"/>
        <v>30.354114654103686</v>
      </c>
    </row>
    <row r="73" spans="2:17" x14ac:dyDescent="0.25">
      <c r="B73" s="196" t="s">
        <v>222</v>
      </c>
      <c r="C73" s="185" t="s">
        <v>223</v>
      </c>
      <c r="D73" s="172">
        <f>AVERAGE(F73:Q73)</f>
        <v>5.8064062628968109</v>
      </c>
      <c r="E73" s="172"/>
      <c r="F73" s="180">
        <f>F61/F43*1000</f>
        <v>5.7488213234179941</v>
      </c>
      <c r="G73" s="180">
        <f>G61/G43*1000</f>
        <v>5.4099289970984161</v>
      </c>
      <c r="H73" s="180">
        <f t="shared" ref="H73:Q73" si="28">H61/H43*1000</f>
        <v>5.4099289970984161</v>
      </c>
      <c r="I73" s="180">
        <f t="shared" si="28"/>
        <v>5.409928997098417</v>
      </c>
      <c r="J73" s="180">
        <f t="shared" si="28"/>
        <v>5.409928997098417</v>
      </c>
      <c r="K73" s="180">
        <f t="shared" si="28"/>
        <v>5.409928997098417</v>
      </c>
      <c r="L73" s="180">
        <f t="shared" si="28"/>
        <v>5.409928997098417</v>
      </c>
      <c r="M73" s="180">
        <f t="shared" si="28"/>
        <v>5.409928997098417</v>
      </c>
      <c r="N73" s="180">
        <f t="shared" si="28"/>
        <v>5.409928997098417</v>
      </c>
      <c r="O73" s="180">
        <f t="shared" si="28"/>
        <v>5.409928997098417</v>
      </c>
      <c r="P73" s="180">
        <f t="shared" si="28"/>
        <v>8.1148934956476246</v>
      </c>
      <c r="Q73" s="180">
        <f t="shared" si="28"/>
        <v>7.1237993618103594</v>
      </c>
    </row>
    <row r="74" spans="2:17" x14ac:dyDescent="0.25">
      <c r="B74" s="196" t="s">
        <v>224</v>
      </c>
      <c r="C74" s="185" t="s">
        <v>223</v>
      </c>
      <c r="D74" s="172">
        <f>AVERAGE(F74:Q74)</f>
        <v>787.59516669591687</v>
      </c>
      <c r="E74" s="172"/>
      <c r="F74" s="172">
        <f>F62/F43*1000</f>
        <v>783.69150435543202</v>
      </c>
      <c r="G74" s="172">
        <f>G62/G43*1000</f>
        <v>733.48536298177316</v>
      </c>
      <c r="H74" s="172">
        <f t="shared" ref="H74:Q74" si="29">H62/H43*1000</f>
        <v>733.48536298177305</v>
      </c>
      <c r="I74" s="172">
        <f t="shared" si="29"/>
        <v>733.48536298177316</v>
      </c>
      <c r="J74" s="172">
        <f t="shared" si="29"/>
        <v>733.48536298177316</v>
      </c>
      <c r="K74" s="172">
        <f t="shared" si="29"/>
        <v>733.48536298177316</v>
      </c>
      <c r="L74" s="172">
        <f t="shared" si="29"/>
        <v>733.48536298177316</v>
      </c>
      <c r="M74" s="172">
        <f t="shared" si="29"/>
        <v>733.48536298177316</v>
      </c>
      <c r="N74" s="172">
        <f t="shared" si="29"/>
        <v>733.48536298177316</v>
      </c>
      <c r="O74" s="172">
        <f t="shared" si="29"/>
        <v>733.48536298177316</v>
      </c>
      <c r="P74" s="172">
        <f t="shared" si="29"/>
        <v>1100.2280444726596</v>
      </c>
      <c r="Q74" s="172">
        <f t="shared" si="29"/>
        <v>965.85418468695275</v>
      </c>
    </row>
    <row r="75" spans="2:17" x14ac:dyDescent="0.25">
      <c r="B75" s="195" t="s">
        <v>354</v>
      </c>
      <c r="C75" s="185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72"/>
    </row>
    <row r="76" spans="2:17" x14ac:dyDescent="0.25">
      <c r="B76" s="196" t="s">
        <v>221</v>
      </c>
      <c r="C76" s="185" t="s">
        <v>2</v>
      </c>
      <c r="D76" s="172">
        <f>AVERAGE(F76:Q76)</f>
        <v>40.637869412088598</v>
      </c>
      <c r="E76" s="172"/>
      <c r="F76" s="172">
        <f>F64/F44*100</f>
        <v>40.522104343349142</v>
      </c>
      <c r="G76" s="172">
        <f t="shared" ref="G76:Q76" si="30">G64/G44*100</f>
        <v>37.838695299942707</v>
      </c>
      <c r="H76" s="172">
        <f t="shared" si="30"/>
        <v>37.838695299942707</v>
      </c>
      <c r="I76" s="172">
        <f t="shared" si="30"/>
        <v>37.838695299942707</v>
      </c>
      <c r="J76" s="172">
        <f t="shared" si="30"/>
        <v>37.838695299942707</v>
      </c>
      <c r="K76" s="172">
        <f t="shared" si="30"/>
        <v>37.838695299942707</v>
      </c>
      <c r="L76" s="172">
        <f t="shared" si="30"/>
        <v>37.838695299942707</v>
      </c>
      <c r="M76" s="172">
        <f t="shared" si="30"/>
        <v>37.838695299942707</v>
      </c>
      <c r="N76" s="172">
        <f t="shared" si="30"/>
        <v>37.838695299942707</v>
      </c>
      <c r="O76" s="172">
        <f t="shared" si="30"/>
        <v>37.838695299942707</v>
      </c>
      <c r="P76" s="172">
        <f t="shared" si="30"/>
        <v>56.758042949914056</v>
      </c>
      <c r="Q76" s="172">
        <f t="shared" si="30"/>
        <v>49.826027952315627</v>
      </c>
    </row>
    <row r="77" spans="2:17" x14ac:dyDescent="0.25">
      <c r="B77" s="196" t="s">
        <v>222</v>
      </c>
      <c r="C77" s="185" t="s">
        <v>223</v>
      </c>
      <c r="D77" s="172">
        <f>AVERAGE(F77:Q77)</f>
        <v>0.58888856244408905</v>
      </c>
      <c r="E77" s="172"/>
      <c r="F77" s="172">
        <f>F65/F44*100</f>
        <v>0.58304826972382173</v>
      </c>
      <c r="G77" s="172">
        <f t="shared" ref="G77:Q77" si="31">G65/G44*100</f>
        <v>0.54867764427431975</v>
      </c>
      <c r="H77" s="172">
        <f t="shared" si="31"/>
        <v>0.54867764427431986</v>
      </c>
      <c r="I77" s="172">
        <f t="shared" si="31"/>
        <v>0.54867764427431986</v>
      </c>
      <c r="J77" s="172">
        <f t="shared" si="31"/>
        <v>0.54867764427431986</v>
      </c>
      <c r="K77" s="172">
        <f t="shared" si="31"/>
        <v>0.54867764427431986</v>
      </c>
      <c r="L77" s="172">
        <f t="shared" si="31"/>
        <v>0.54867764427431986</v>
      </c>
      <c r="M77" s="172">
        <f t="shared" si="31"/>
        <v>0.54867764427431986</v>
      </c>
      <c r="N77" s="172">
        <f t="shared" si="31"/>
        <v>0.54867764427431986</v>
      </c>
      <c r="O77" s="172">
        <f t="shared" si="31"/>
        <v>0.54867764427431986</v>
      </c>
      <c r="P77" s="172">
        <f t="shared" si="31"/>
        <v>0.82301646641147974</v>
      </c>
      <c r="Q77" s="172">
        <f t="shared" si="31"/>
        <v>0.72249921472488876</v>
      </c>
    </row>
    <row r="78" spans="2:17" x14ac:dyDescent="0.25">
      <c r="B78" s="196" t="s">
        <v>224</v>
      </c>
      <c r="C78" s="185" t="s">
        <v>223</v>
      </c>
      <c r="D78" s="172">
        <f>AVERAGE(F78:Q78)</f>
        <v>44.493405238370542</v>
      </c>
      <c r="E78" s="172"/>
      <c r="F78" s="172">
        <f>F66/F44*100</f>
        <v>44.272876675254039</v>
      </c>
      <c r="G78" s="172">
        <f t="shared" ref="G78:Q78" si="32">G66/G44*100</f>
        <v>41.436594422577912</v>
      </c>
      <c r="H78" s="172">
        <f t="shared" si="32"/>
        <v>41.436594422577905</v>
      </c>
      <c r="I78" s="172">
        <f t="shared" si="32"/>
        <v>41.436594422577905</v>
      </c>
      <c r="J78" s="172">
        <f t="shared" si="32"/>
        <v>41.436594422577905</v>
      </c>
      <c r="K78" s="172">
        <f t="shared" si="32"/>
        <v>41.436594422577905</v>
      </c>
      <c r="L78" s="172">
        <f t="shared" si="32"/>
        <v>41.436594422577905</v>
      </c>
      <c r="M78" s="172">
        <f t="shared" si="32"/>
        <v>41.436594422577905</v>
      </c>
      <c r="N78" s="172">
        <f t="shared" si="32"/>
        <v>41.436594422577905</v>
      </c>
      <c r="O78" s="172">
        <f t="shared" si="32"/>
        <v>41.436594422577905</v>
      </c>
      <c r="P78" s="172">
        <f t="shared" si="32"/>
        <v>62.15489163386686</v>
      </c>
      <c r="Q78" s="172">
        <f t="shared" si="32"/>
        <v>54.563744748124499</v>
      </c>
    </row>
    <row r="79" spans="2:17" x14ac:dyDescent="0.25">
      <c r="B79" s="195" t="s">
        <v>243</v>
      </c>
      <c r="C79" s="578"/>
      <c r="D79" s="172"/>
      <c r="E79" s="172"/>
      <c r="F79" s="165"/>
      <c r="G79" s="193"/>
      <c r="H79" s="198"/>
      <c r="I79" s="167"/>
      <c r="J79" s="167"/>
      <c r="K79" s="167"/>
      <c r="L79" s="197"/>
      <c r="M79" s="167"/>
      <c r="N79" s="197"/>
      <c r="O79" s="167"/>
      <c r="P79" s="197"/>
      <c r="Q79" s="167"/>
    </row>
    <row r="80" spans="2:17" x14ac:dyDescent="0.25">
      <c r="B80" s="196" t="s">
        <v>220</v>
      </c>
      <c r="C80" s="185" t="s">
        <v>2</v>
      </c>
      <c r="D80" s="172">
        <f>AVERAGE(F80:Q80)</f>
        <v>42.605483587923693</v>
      </c>
      <c r="E80" s="172"/>
      <c r="F80" s="180">
        <f>F68/F45*100</f>
        <v>42.556005147394501</v>
      </c>
      <c r="G80" s="180">
        <f>G68/G45*100</f>
        <v>39.664694526985755</v>
      </c>
      <c r="H80" s="180">
        <f t="shared" ref="H80:Q80" si="33">H68/H45*100</f>
        <v>39.664694526985762</v>
      </c>
      <c r="I80" s="180">
        <f t="shared" si="33"/>
        <v>39.664694526985755</v>
      </c>
      <c r="J80" s="180">
        <f t="shared" si="33"/>
        <v>39.664694526985755</v>
      </c>
      <c r="K80" s="180">
        <f t="shared" si="33"/>
        <v>39.664694526985755</v>
      </c>
      <c r="L80" s="180">
        <f t="shared" si="33"/>
        <v>39.664694526985755</v>
      </c>
      <c r="M80" s="180">
        <f t="shared" si="33"/>
        <v>39.664694526985755</v>
      </c>
      <c r="N80" s="180">
        <f t="shared" si="33"/>
        <v>39.664694526985755</v>
      </c>
      <c r="O80" s="180">
        <f t="shared" si="33"/>
        <v>39.664694526985755</v>
      </c>
      <c r="P80" s="180">
        <f t="shared" si="33"/>
        <v>59.497041790478633</v>
      </c>
      <c r="Q80" s="180">
        <f t="shared" si="33"/>
        <v>52.230505374339508</v>
      </c>
    </row>
    <row r="81" spans="2:17" x14ac:dyDescent="0.25">
      <c r="B81" s="196" t="s">
        <v>224</v>
      </c>
      <c r="C81" s="185" t="s">
        <v>223</v>
      </c>
      <c r="D81" s="172">
        <f>AVERAGE(F81:Q81)</f>
        <v>13.237760774930912</v>
      </c>
      <c r="E81" s="172"/>
      <c r="F81" s="180">
        <f>F69/F45*100</f>
        <v>13.172148706199923</v>
      </c>
      <c r="G81" s="180">
        <f t="shared" ref="G81:Q81" si="34">G69/G45*100</f>
        <v>12.328292729118415</v>
      </c>
      <c r="H81" s="180">
        <f t="shared" si="34"/>
        <v>12.328292729118411</v>
      </c>
      <c r="I81" s="180">
        <f t="shared" si="34"/>
        <v>12.328292729118413</v>
      </c>
      <c r="J81" s="180">
        <f t="shared" si="34"/>
        <v>12.328292729118413</v>
      </c>
      <c r="K81" s="180">
        <f t="shared" si="34"/>
        <v>12.328292729118413</v>
      </c>
      <c r="L81" s="180">
        <f t="shared" si="34"/>
        <v>12.328292729118413</v>
      </c>
      <c r="M81" s="180">
        <f t="shared" si="34"/>
        <v>12.328292729118413</v>
      </c>
      <c r="N81" s="180">
        <f t="shared" si="34"/>
        <v>12.328292729118413</v>
      </c>
      <c r="O81" s="180">
        <f t="shared" si="34"/>
        <v>12.328292729118413</v>
      </c>
      <c r="P81" s="180">
        <f t="shared" si="34"/>
        <v>18.492439093677618</v>
      </c>
      <c r="Q81" s="180">
        <f t="shared" si="34"/>
        <v>16.233906937227658</v>
      </c>
    </row>
    <row r="82" spans="2:17" x14ac:dyDescent="0.25">
      <c r="B82" s="189" t="s">
        <v>245</v>
      </c>
      <c r="C82" s="199"/>
      <c r="D82" s="165"/>
      <c r="E82" s="165"/>
      <c r="F82" s="165"/>
      <c r="G82" s="167"/>
      <c r="H82" s="167"/>
      <c r="I82" s="167"/>
      <c r="J82" s="167"/>
      <c r="K82" s="167"/>
      <c r="L82" s="200"/>
      <c r="M82" s="167"/>
      <c r="N82" s="200"/>
      <c r="O82" s="167"/>
      <c r="P82" s="200"/>
      <c r="Q82" s="167"/>
    </row>
    <row r="83" spans="2:17" x14ac:dyDescent="0.25">
      <c r="B83" s="192" t="s">
        <v>246</v>
      </c>
      <c r="C83" s="185" t="s">
        <v>2</v>
      </c>
      <c r="D83" s="201">
        <f>'И. Д.'!F47/100</f>
        <v>0.93500000000000005</v>
      </c>
      <c r="E83" s="202"/>
      <c r="F83" s="176">
        <f>D83</f>
        <v>0.93500000000000005</v>
      </c>
      <c r="G83" s="176">
        <f>D83</f>
        <v>0.93500000000000005</v>
      </c>
      <c r="H83" s="176">
        <f t="shared" ref="H83:Q85" si="35">G83</f>
        <v>0.93500000000000005</v>
      </c>
      <c r="I83" s="176">
        <f t="shared" si="35"/>
        <v>0.93500000000000005</v>
      </c>
      <c r="J83" s="176">
        <f t="shared" si="35"/>
        <v>0.93500000000000005</v>
      </c>
      <c r="K83" s="176">
        <f t="shared" si="35"/>
        <v>0.93500000000000005</v>
      </c>
      <c r="L83" s="176">
        <f t="shared" si="35"/>
        <v>0.93500000000000005</v>
      </c>
      <c r="M83" s="176">
        <f t="shared" si="35"/>
        <v>0.93500000000000005</v>
      </c>
      <c r="N83" s="176">
        <f t="shared" si="35"/>
        <v>0.93500000000000005</v>
      </c>
      <c r="O83" s="176">
        <f t="shared" si="35"/>
        <v>0.93500000000000005</v>
      </c>
      <c r="P83" s="176">
        <f t="shared" si="35"/>
        <v>0.93500000000000005</v>
      </c>
      <c r="Q83" s="176">
        <f t="shared" si="35"/>
        <v>0.93500000000000005</v>
      </c>
    </row>
    <row r="84" spans="2:17" x14ac:dyDescent="0.25">
      <c r="B84" s="192" t="s">
        <v>247</v>
      </c>
      <c r="C84" s="179" t="s">
        <v>2</v>
      </c>
      <c r="D84" s="201">
        <f>'И. Д.'!F48/100</f>
        <v>0.91</v>
      </c>
      <c r="E84" s="203"/>
      <c r="F84" s="204">
        <f t="shared" ref="F84:F85" si="36">D84</f>
        <v>0.91</v>
      </c>
      <c r="G84" s="204">
        <f>D84</f>
        <v>0.91</v>
      </c>
      <c r="H84" s="204">
        <f t="shared" si="35"/>
        <v>0.91</v>
      </c>
      <c r="I84" s="204">
        <f t="shared" si="35"/>
        <v>0.91</v>
      </c>
      <c r="J84" s="204">
        <f t="shared" si="35"/>
        <v>0.91</v>
      </c>
      <c r="K84" s="204">
        <f t="shared" si="35"/>
        <v>0.91</v>
      </c>
      <c r="L84" s="176">
        <f t="shared" si="35"/>
        <v>0.91</v>
      </c>
      <c r="M84" s="176">
        <f t="shared" si="35"/>
        <v>0.91</v>
      </c>
      <c r="N84" s="176">
        <f t="shared" si="35"/>
        <v>0.91</v>
      </c>
      <c r="O84" s="176">
        <f t="shared" si="35"/>
        <v>0.91</v>
      </c>
      <c r="P84" s="176">
        <f t="shared" si="35"/>
        <v>0.91</v>
      </c>
      <c r="Q84" s="176">
        <f t="shared" si="35"/>
        <v>0.91</v>
      </c>
    </row>
    <row r="85" spans="2:17" x14ac:dyDescent="0.25">
      <c r="B85" s="192" t="s">
        <v>248</v>
      </c>
      <c r="C85" s="179" t="s">
        <v>2</v>
      </c>
      <c r="D85" s="201">
        <f>'И. Д.'!F49/100</f>
        <v>0.9</v>
      </c>
      <c r="E85" s="203"/>
      <c r="F85" s="176">
        <f t="shared" si="36"/>
        <v>0.9</v>
      </c>
      <c r="G85" s="176">
        <f>D85</f>
        <v>0.9</v>
      </c>
      <c r="H85" s="176">
        <f t="shared" si="35"/>
        <v>0.9</v>
      </c>
      <c r="I85" s="176">
        <f t="shared" si="35"/>
        <v>0.9</v>
      </c>
      <c r="J85" s="176">
        <f t="shared" si="35"/>
        <v>0.9</v>
      </c>
      <c r="K85" s="176">
        <f t="shared" si="35"/>
        <v>0.9</v>
      </c>
      <c r="L85" s="176">
        <f t="shared" si="35"/>
        <v>0.9</v>
      </c>
      <c r="M85" s="176">
        <f t="shared" si="35"/>
        <v>0.9</v>
      </c>
      <c r="N85" s="176">
        <f t="shared" si="35"/>
        <v>0.9</v>
      </c>
      <c r="O85" s="176">
        <f t="shared" si="35"/>
        <v>0.9</v>
      </c>
      <c r="P85" s="176">
        <f t="shared" si="35"/>
        <v>0.9</v>
      </c>
      <c r="Q85" s="176">
        <f t="shared" si="35"/>
        <v>0.9</v>
      </c>
    </row>
    <row r="86" spans="2:17" x14ac:dyDescent="0.25">
      <c r="B86" s="194" t="s">
        <v>249</v>
      </c>
      <c r="C86" s="579"/>
      <c r="D86" s="165"/>
      <c r="E86" s="165"/>
      <c r="F86" s="165"/>
      <c r="G86" s="167"/>
      <c r="H86" s="167"/>
      <c r="I86" s="167"/>
      <c r="J86" s="167"/>
      <c r="K86" s="167"/>
      <c r="L86" s="200"/>
      <c r="M86" s="167"/>
      <c r="N86" s="200"/>
      <c r="O86" s="167"/>
      <c r="P86" s="200"/>
      <c r="Q86" s="167"/>
    </row>
    <row r="87" spans="2:17" x14ac:dyDescent="0.25">
      <c r="B87" s="192" t="s">
        <v>250</v>
      </c>
      <c r="C87" s="179" t="s">
        <v>231</v>
      </c>
      <c r="D87" s="165">
        <f>SUM(F87:Q87)</f>
        <v>258865.59941155463</v>
      </c>
      <c r="E87" s="183"/>
      <c r="F87" s="183">
        <f>F60*F83</f>
        <v>20003.740948056908</v>
      </c>
      <c r="G87" s="183">
        <f>G60*G83</f>
        <v>20033.575225970777</v>
      </c>
      <c r="H87" s="183">
        <f t="shared" ref="H87:Q87" si="37">H60*H83</f>
        <v>21574.61947412237</v>
      </c>
      <c r="I87" s="183">
        <f t="shared" si="37"/>
        <v>23115.66372227397</v>
      </c>
      <c r="J87" s="183">
        <f t="shared" si="37"/>
        <v>23115.66372227397</v>
      </c>
      <c r="K87" s="183">
        <f t="shared" si="37"/>
        <v>23115.66372227397</v>
      </c>
      <c r="L87" s="183">
        <f t="shared" si="37"/>
        <v>23115.66372227397</v>
      </c>
      <c r="M87" s="183">
        <f t="shared" si="37"/>
        <v>23115.66372227397</v>
      </c>
      <c r="N87" s="183">
        <f t="shared" si="37"/>
        <v>23115.66372227397</v>
      </c>
      <c r="O87" s="183">
        <f t="shared" si="37"/>
        <v>23115.66372227397</v>
      </c>
      <c r="P87" s="183">
        <f t="shared" si="37"/>
        <v>23115.66372227397</v>
      </c>
      <c r="Q87" s="183">
        <f t="shared" si="37"/>
        <v>12328.353985212785</v>
      </c>
    </row>
    <row r="88" spans="2:17" x14ac:dyDescent="0.25">
      <c r="B88" s="195" t="s">
        <v>366</v>
      </c>
      <c r="C88" s="179" t="s">
        <v>231</v>
      </c>
      <c r="D88" s="165">
        <f>SUM(F88:Q88)</f>
        <v>117121.35556104283</v>
      </c>
      <c r="E88" s="183"/>
      <c r="F88" s="183">
        <f>F64*F84</f>
        <v>9310.9665254930496</v>
      </c>
      <c r="G88" s="183">
        <f t="shared" ref="G88:Q88" si="38">G64*G84</f>
        <v>9042.1616610461078</v>
      </c>
      <c r="H88" s="183">
        <f t="shared" si="38"/>
        <v>9737.7125580496577</v>
      </c>
      <c r="I88" s="183">
        <f t="shared" si="38"/>
        <v>10433.263455053202</v>
      </c>
      <c r="J88" s="183">
        <f t="shared" si="38"/>
        <v>10433.263455053202</v>
      </c>
      <c r="K88" s="183">
        <f t="shared" si="38"/>
        <v>10433.263455053202</v>
      </c>
      <c r="L88" s="183">
        <f t="shared" si="38"/>
        <v>10433.263455053202</v>
      </c>
      <c r="M88" s="183">
        <f t="shared" si="38"/>
        <v>10433.263455053202</v>
      </c>
      <c r="N88" s="183">
        <f t="shared" si="38"/>
        <v>10433.263455053202</v>
      </c>
      <c r="O88" s="183">
        <f t="shared" si="38"/>
        <v>10433.263455053202</v>
      </c>
      <c r="P88" s="183">
        <f t="shared" si="38"/>
        <v>10433.263455053202</v>
      </c>
      <c r="Q88" s="183">
        <f t="shared" si="38"/>
        <v>5564.407176028375</v>
      </c>
    </row>
    <row r="89" spans="2:17" x14ac:dyDescent="0.25">
      <c r="B89" s="192" t="s">
        <v>251</v>
      </c>
      <c r="C89" s="179" t="s">
        <v>231</v>
      </c>
      <c r="D89" s="165">
        <f>SUM(F89:Q89)</f>
        <v>543750.18608445325</v>
      </c>
      <c r="E89" s="183"/>
      <c r="F89" s="183">
        <f>F68</f>
        <v>43300.735237473906</v>
      </c>
      <c r="G89" s="183">
        <f>G68</f>
        <v>41973.179748456329</v>
      </c>
      <c r="H89" s="183">
        <f t="shared" ref="H89:Q89" si="39">H68</f>
        <v>45201.885882952971</v>
      </c>
      <c r="I89" s="183">
        <f t="shared" si="39"/>
        <v>48430.592017449606</v>
      </c>
      <c r="J89" s="183">
        <f t="shared" si="39"/>
        <v>48430.592017449606</v>
      </c>
      <c r="K89" s="183">
        <f t="shared" si="39"/>
        <v>48430.592017449606</v>
      </c>
      <c r="L89" s="183">
        <f t="shared" si="39"/>
        <v>48430.592017449606</v>
      </c>
      <c r="M89" s="183">
        <f t="shared" si="39"/>
        <v>48430.592017449606</v>
      </c>
      <c r="N89" s="183">
        <f t="shared" si="39"/>
        <v>48430.592017449606</v>
      </c>
      <c r="O89" s="183">
        <f t="shared" si="39"/>
        <v>48430.592017449606</v>
      </c>
      <c r="P89" s="183">
        <f t="shared" si="39"/>
        <v>48430.592017449606</v>
      </c>
      <c r="Q89" s="183">
        <f t="shared" si="39"/>
        <v>25829.649075973124</v>
      </c>
    </row>
    <row r="90" spans="2:17" x14ac:dyDescent="0.25">
      <c r="B90" s="192" t="s">
        <v>252</v>
      </c>
      <c r="C90" s="179" t="s">
        <v>71</v>
      </c>
      <c r="D90" s="165">
        <f>SUM(F90:Q90)</f>
        <v>5923.5127923014725</v>
      </c>
      <c r="E90" s="183"/>
      <c r="F90" s="183">
        <f t="shared" ref="F90:Q91" si="40">F61*F84</f>
        <v>467.55882426023982</v>
      </c>
      <c r="G90" s="183">
        <f t="shared" si="40"/>
        <v>457.59613925507108</v>
      </c>
      <c r="H90" s="183">
        <f t="shared" si="40"/>
        <v>492.79584227469195</v>
      </c>
      <c r="I90" s="183">
        <f t="shared" si="40"/>
        <v>527.99554529431282</v>
      </c>
      <c r="J90" s="183">
        <f t="shared" si="40"/>
        <v>527.99554529431282</v>
      </c>
      <c r="K90" s="183">
        <f t="shared" si="40"/>
        <v>527.99554529431282</v>
      </c>
      <c r="L90" s="183">
        <f t="shared" si="40"/>
        <v>527.99554529431282</v>
      </c>
      <c r="M90" s="183">
        <f t="shared" si="40"/>
        <v>527.99554529431282</v>
      </c>
      <c r="N90" s="183">
        <f t="shared" si="40"/>
        <v>527.99554529431282</v>
      </c>
      <c r="O90" s="183">
        <f t="shared" si="40"/>
        <v>527.99554529431282</v>
      </c>
      <c r="P90" s="183">
        <f t="shared" si="40"/>
        <v>527.99554529431282</v>
      </c>
      <c r="Q90" s="183">
        <f t="shared" si="40"/>
        <v>281.59762415696684</v>
      </c>
    </row>
    <row r="91" spans="2:17" x14ac:dyDescent="0.25">
      <c r="B91" s="192" t="s">
        <v>253</v>
      </c>
      <c r="C91" s="179" t="s">
        <v>71</v>
      </c>
      <c r="D91" s="165">
        <f>SUM(F91:Q91)</f>
        <v>794634.8235536851</v>
      </c>
      <c r="E91" s="183"/>
      <c r="F91" s="183">
        <f t="shared" si="40"/>
        <v>63038.185381590069</v>
      </c>
      <c r="G91" s="183">
        <f t="shared" si="40"/>
        <v>61359.718040240245</v>
      </c>
      <c r="H91" s="183">
        <f t="shared" si="40"/>
        <v>66079.696351027946</v>
      </c>
      <c r="I91" s="183">
        <f t="shared" si="40"/>
        <v>70799.674661815661</v>
      </c>
      <c r="J91" s="183">
        <f t="shared" si="40"/>
        <v>70799.674661815661</v>
      </c>
      <c r="K91" s="183">
        <f t="shared" si="40"/>
        <v>70799.674661815661</v>
      </c>
      <c r="L91" s="183">
        <f t="shared" si="40"/>
        <v>70799.674661815661</v>
      </c>
      <c r="M91" s="183">
        <f t="shared" si="40"/>
        <v>70799.674661815661</v>
      </c>
      <c r="N91" s="183">
        <f t="shared" si="40"/>
        <v>70799.674661815661</v>
      </c>
      <c r="O91" s="183">
        <f t="shared" si="40"/>
        <v>70799.674661815661</v>
      </c>
      <c r="P91" s="183">
        <f t="shared" si="40"/>
        <v>70799.674661815661</v>
      </c>
      <c r="Q91" s="183">
        <f t="shared" si="40"/>
        <v>37759.826486301681</v>
      </c>
    </row>
    <row r="92" spans="2:17" x14ac:dyDescent="0.25">
      <c r="B92" s="205" t="s">
        <v>254</v>
      </c>
      <c r="C92" s="121"/>
      <c r="D92" s="165"/>
      <c r="E92" s="165"/>
      <c r="F92" s="165"/>
      <c r="G92" s="167"/>
      <c r="H92" s="167"/>
      <c r="I92" s="167"/>
      <c r="J92" s="167"/>
      <c r="K92" s="167"/>
      <c r="L92" s="200"/>
      <c r="M92" s="168"/>
      <c r="N92" s="168"/>
      <c r="O92" s="168"/>
      <c r="P92" s="168"/>
      <c r="Q92" s="168"/>
    </row>
    <row r="93" spans="2:17" x14ac:dyDescent="0.25">
      <c r="B93" s="580" t="s">
        <v>255</v>
      </c>
      <c r="C93" s="579"/>
      <c r="D93" s="165"/>
      <c r="E93" s="165"/>
      <c r="F93" s="165"/>
      <c r="G93" s="167"/>
      <c r="H93" s="167"/>
      <c r="I93" s="167"/>
      <c r="J93" s="167"/>
      <c r="K93" s="167"/>
      <c r="L93" s="200"/>
      <c r="M93" s="168"/>
      <c r="N93" s="168"/>
      <c r="O93" s="168"/>
      <c r="P93" s="168"/>
      <c r="Q93" s="168"/>
    </row>
    <row r="94" spans="2:17" ht="15.6" x14ac:dyDescent="0.25">
      <c r="B94" s="206" t="s">
        <v>256</v>
      </c>
      <c r="C94" s="581" t="s">
        <v>544</v>
      </c>
      <c r="D94" s="165">
        <f t="shared" ref="D94:D99" si="41">SUM(F94:Q94)</f>
        <v>56.863</v>
      </c>
      <c r="E94" s="165"/>
      <c r="F94" s="183">
        <f>календари!F48</f>
        <v>47.497</v>
      </c>
      <c r="G94" s="183">
        <f>календари!G48</f>
        <v>9.3659999999999997</v>
      </c>
      <c r="H94" s="183">
        <f>календари!H48</f>
        <v>0</v>
      </c>
      <c r="I94" s="183">
        <f>календари!I48</f>
        <v>0</v>
      </c>
      <c r="J94" s="183">
        <f>календари!J48</f>
        <v>0</v>
      </c>
      <c r="K94" s="183">
        <f>календари!K48</f>
        <v>0</v>
      </c>
      <c r="L94" s="183">
        <f>календари!L48</f>
        <v>0</v>
      </c>
      <c r="M94" s="183">
        <f>календари!M48</f>
        <v>0</v>
      </c>
      <c r="N94" s="183">
        <f>календари!N48</f>
        <v>0</v>
      </c>
      <c r="O94" s="183">
        <f>календари!O48</f>
        <v>0</v>
      </c>
      <c r="P94" s="183">
        <f>календари!P48</f>
        <v>0</v>
      </c>
      <c r="Q94" s="183">
        <f>календари!Q48</f>
        <v>0</v>
      </c>
    </row>
    <row r="95" spans="2:17" x14ac:dyDescent="0.25">
      <c r="B95" s="171" t="s">
        <v>257</v>
      </c>
      <c r="C95" s="179" t="s">
        <v>258</v>
      </c>
      <c r="D95" s="165">
        <f t="shared" si="41"/>
        <v>16057.532999999999</v>
      </c>
      <c r="E95" s="165"/>
      <c r="F95" s="183">
        <f>F22</f>
        <v>1250</v>
      </c>
      <c r="G95" s="183">
        <f t="shared" ref="G95:Q95" si="42">G22</f>
        <v>1300</v>
      </c>
      <c r="H95" s="183">
        <f t="shared" si="42"/>
        <v>1400</v>
      </c>
      <c r="I95" s="183">
        <f t="shared" si="42"/>
        <v>1500</v>
      </c>
      <c r="J95" s="183">
        <f t="shared" si="42"/>
        <v>1500</v>
      </c>
      <c r="K95" s="183">
        <f t="shared" si="42"/>
        <v>1500</v>
      </c>
      <c r="L95" s="183">
        <f t="shared" si="42"/>
        <v>1500</v>
      </c>
      <c r="M95" s="183">
        <f t="shared" si="42"/>
        <v>1500</v>
      </c>
      <c r="N95" s="183">
        <f t="shared" si="42"/>
        <v>1500</v>
      </c>
      <c r="O95" s="183">
        <f t="shared" si="42"/>
        <v>1500</v>
      </c>
      <c r="P95" s="183">
        <f t="shared" si="42"/>
        <v>1000</v>
      </c>
      <c r="Q95" s="183">
        <f t="shared" si="42"/>
        <v>607.53300000000002</v>
      </c>
    </row>
    <row r="96" spans="2:17" ht="15.6" x14ac:dyDescent="0.25">
      <c r="B96" s="207" t="s">
        <v>259</v>
      </c>
      <c r="C96" s="581" t="s">
        <v>544</v>
      </c>
      <c r="D96" s="165">
        <f t="shared" si="41"/>
        <v>711.3487118999999</v>
      </c>
      <c r="E96" s="208"/>
      <c r="F96" s="183">
        <f>календари!F47</f>
        <v>55.375</v>
      </c>
      <c r="G96" s="183">
        <f>календари!G47</f>
        <v>57.589999999999989</v>
      </c>
      <c r="H96" s="183">
        <f>календари!H47</f>
        <v>62.019999999999996</v>
      </c>
      <c r="I96" s="183">
        <f>календари!I47</f>
        <v>66.45</v>
      </c>
      <c r="J96" s="183">
        <f>календари!J47</f>
        <v>66.45</v>
      </c>
      <c r="K96" s="183">
        <f>календари!K47</f>
        <v>66.45</v>
      </c>
      <c r="L96" s="183">
        <f>календари!L47</f>
        <v>66.45</v>
      </c>
      <c r="M96" s="183">
        <f>календари!M47</f>
        <v>66.45</v>
      </c>
      <c r="N96" s="183">
        <f>календари!N47</f>
        <v>66.45</v>
      </c>
      <c r="O96" s="183">
        <f>календари!O47</f>
        <v>66.45</v>
      </c>
      <c r="P96" s="183">
        <f>календари!P47</f>
        <v>44.3</v>
      </c>
      <c r="Q96" s="183">
        <f>календари!Q47</f>
        <v>26.913711899999999</v>
      </c>
    </row>
    <row r="97" spans="2:17" ht="15.6" x14ac:dyDescent="0.25">
      <c r="B97" s="329" t="s">
        <v>393</v>
      </c>
      <c r="C97" s="581" t="s">
        <v>544</v>
      </c>
      <c r="D97" s="165">
        <f t="shared" si="41"/>
        <v>4236.8160949868079</v>
      </c>
      <c r="E97" s="208"/>
      <c r="F97" s="183">
        <f>F95/'И. Д.'!$H$134</f>
        <v>329.81530343007915</v>
      </c>
      <c r="G97" s="183">
        <f>G95/'И. Д.'!$H$134</f>
        <v>343.00791556728234</v>
      </c>
      <c r="H97" s="183">
        <f>H95/'И. Д.'!$H$134</f>
        <v>369.39313984168865</v>
      </c>
      <c r="I97" s="183">
        <f>I95/'И. Д.'!$H$134</f>
        <v>395.77836411609496</v>
      </c>
      <c r="J97" s="183">
        <f>J95/'И. Д.'!$H$134</f>
        <v>395.77836411609496</v>
      </c>
      <c r="K97" s="183">
        <f>K95/'И. Д.'!$H$134</f>
        <v>395.77836411609496</v>
      </c>
      <c r="L97" s="183">
        <f>L95/'И. Д.'!$H$134</f>
        <v>395.77836411609496</v>
      </c>
      <c r="M97" s="183">
        <f>M95/'И. Д.'!$H$134</f>
        <v>395.77836411609496</v>
      </c>
      <c r="N97" s="183">
        <f>N95/'И. Д.'!$H$134</f>
        <v>395.77836411609496</v>
      </c>
      <c r="O97" s="183">
        <f>O95/'И. Д.'!$H$134</f>
        <v>395.77836411609496</v>
      </c>
      <c r="P97" s="183">
        <f>P95/'И. Д.'!$H$134</f>
        <v>263.85224274406335</v>
      </c>
      <c r="Q97" s="183">
        <f>Q95/'И. Д.'!$H$134</f>
        <v>160.29894459102903</v>
      </c>
    </row>
    <row r="98" spans="2:17" x14ac:dyDescent="0.25">
      <c r="B98" s="584" t="s">
        <v>37</v>
      </c>
      <c r="C98" s="556" t="s">
        <v>260</v>
      </c>
      <c r="D98" s="583">
        <f t="shared" si="41"/>
        <v>0</v>
      </c>
      <c r="E98" s="167"/>
      <c r="F98" s="183"/>
      <c r="G98" s="183"/>
      <c r="H98" s="183"/>
      <c r="I98" s="183"/>
      <c r="J98" s="183"/>
      <c r="K98" s="183"/>
      <c r="L98" s="183"/>
      <c r="M98" s="183"/>
      <c r="N98" s="183"/>
      <c r="O98" s="183"/>
      <c r="P98" s="183"/>
      <c r="Q98" s="183"/>
    </row>
    <row r="99" spans="2:17" x14ac:dyDescent="0.25">
      <c r="B99" s="584" t="s">
        <v>261</v>
      </c>
      <c r="C99" s="556" t="s">
        <v>260</v>
      </c>
      <c r="D99" s="583">
        <f t="shared" si="41"/>
        <v>0</v>
      </c>
      <c r="E99" s="167"/>
      <c r="F99" s="183"/>
      <c r="G99" s="183"/>
      <c r="H99" s="183"/>
      <c r="I99" s="183"/>
      <c r="J99" s="183"/>
      <c r="K99" s="183"/>
      <c r="L99" s="183"/>
      <c r="M99" s="183"/>
      <c r="N99" s="183"/>
      <c r="O99" s="183"/>
      <c r="P99" s="183"/>
      <c r="Q99" s="183"/>
    </row>
    <row r="100" spans="2:17" x14ac:dyDescent="0.25">
      <c r="B100" s="210" t="s">
        <v>262</v>
      </c>
      <c r="C100" s="209"/>
      <c r="D100" s="183"/>
      <c r="E100" s="183"/>
      <c r="F100" s="168"/>
      <c r="G100" s="211"/>
      <c r="H100" s="211"/>
      <c r="I100" s="211"/>
      <c r="J100" s="211"/>
      <c r="K100" s="211"/>
      <c r="L100" s="211"/>
      <c r="M100" s="168"/>
      <c r="N100" s="168"/>
      <c r="O100" s="168"/>
      <c r="P100" s="168"/>
      <c r="Q100" s="168"/>
    </row>
    <row r="101" spans="2:17" ht="26.4" x14ac:dyDescent="0.25">
      <c r="B101" s="214" t="s">
        <v>263</v>
      </c>
      <c r="C101" s="168"/>
      <c r="D101" s="183"/>
      <c r="E101" s="183"/>
      <c r="F101" s="168"/>
      <c r="G101" s="211"/>
      <c r="H101" s="211"/>
      <c r="I101" s="211"/>
      <c r="J101" s="211"/>
      <c r="K101" s="211"/>
      <c r="L101" s="211"/>
      <c r="M101" s="168"/>
      <c r="N101" s="168"/>
      <c r="O101" s="168"/>
      <c r="P101" s="168"/>
      <c r="Q101" s="168"/>
    </row>
    <row r="102" spans="2:17" x14ac:dyDescent="0.25">
      <c r="B102" s="215" t="s">
        <v>264</v>
      </c>
      <c r="C102" s="168"/>
      <c r="D102" s="183"/>
      <c r="E102" s="183"/>
      <c r="F102" s="168"/>
      <c r="G102" s="211"/>
      <c r="H102" s="211"/>
      <c r="I102" s="211"/>
      <c r="J102" s="211"/>
      <c r="K102" s="211"/>
      <c r="L102" s="211"/>
      <c r="M102" s="168"/>
      <c r="N102" s="168"/>
      <c r="O102" s="168"/>
      <c r="P102" s="168"/>
      <c r="Q102" s="168"/>
    </row>
    <row r="103" spans="2:17" x14ac:dyDescent="0.25">
      <c r="B103" s="192" t="s">
        <v>250</v>
      </c>
      <c r="C103" s="185" t="s">
        <v>3</v>
      </c>
      <c r="D103" s="216">
        <f t="shared" ref="D103:D109" si="43">AVERAGE(F103:Q103)</f>
        <v>8672.5900732912141</v>
      </c>
      <c r="E103" s="213"/>
      <c r="F103" s="213">
        <f>'цены и инфл'!D16</f>
        <v>8083.9999999999991</v>
      </c>
      <c r="G103" s="213">
        <f>'цены и инфл'!E16</f>
        <v>8930</v>
      </c>
      <c r="H103" s="213">
        <f>'цены и инфл'!F16</f>
        <v>8648</v>
      </c>
      <c r="I103" s="213">
        <f>'цены и инфл'!G16</f>
        <v>8038.1412201599996</v>
      </c>
      <c r="J103" s="213">
        <f>'цены и инфл'!H16</f>
        <v>8198.9040445631999</v>
      </c>
      <c r="K103" s="213">
        <f>'цены и инфл'!I16</f>
        <v>8362.8821254544655</v>
      </c>
      <c r="L103" s="213">
        <f>'цены и инфл'!J16</f>
        <v>8530.1397679635538</v>
      </c>
      <c r="M103" s="213">
        <f>'цены и инфл'!K16</f>
        <v>8700.7425633228268</v>
      </c>
      <c r="N103" s="213">
        <f>'цены и инфл'!L16</f>
        <v>8874.7574145892831</v>
      </c>
      <c r="O103" s="213">
        <f>'цены и инфл'!M16</f>
        <v>9052.2525628810708</v>
      </c>
      <c r="P103" s="213">
        <f>'цены и инфл'!N16</f>
        <v>9233.2976141386935</v>
      </c>
      <c r="Q103" s="213">
        <f>'цены и инфл'!O16</f>
        <v>9417.9635664214675</v>
      </c>
    </row>
    <row r="104" spans="2:17" x14ac:dyDescent="0.25">
      <c r="B104" s="195" t="s">
        <v>366</v>
      </c>
      <c r="C104" s="185" t="s">
        <v>3</v>
      </c>
      <c r="D104" s="216">
        <f t="shared" si="43"/>
        <v>2093.6453566231235</v>
      </c>
      <c r="E104" s="213"/>
      <c r="F104" s="213">
        <f>'цены и инфл'!D22</f>
        <v>1998.5127030343224</v>
      </c>
      <c r="G104" s="213">
        <f>'цены и инфл'!E22</f>
        <v>1946.3570474896601</v>
      </c>
      <c r="H104" s="213">
        <f>'цены и инфл'!F22</f>
        <v>1946.3570474896592</v>
      </c>
      <c r="I104" s="213">
        <f>'цены и инфл'!G22</f>
        <v>1944.4087882346194</v>
      </c>
      <c r="J104" s="213">
        <f>'цены и инфл'!H22</f>
        <v>1985.720070480807</v>
      </c>
      <c r="K104" s="213">
        <f>'цены и инфл'!I22</f>
        <v>2034.1289031759243</v>
      </c>
      <c r="L104" s="213">
        <f>'цены и инфл'!J22</f>
        <v>2083.5059125249441</v>
      </c>
      <c r="M104" s="213">
        <f>'цены и инфл'!K22</f>
        <v>2133.8704620609442</v>
      </c>
      <c r="N104" s="213">
        <f>'цены и инфл'!L22</f>
        <v>2185.2423025876642</v>
      </c>
      <c r="O104" s="213">
        <f>'цены и инфл'!M22</f>
        <v>2237.6415799249185</v>
      </c>
      <c r="P104" s="213">
        <f>'цены и инфл'!N22</f>
        <v>2291.0888428089179</v>
      </c>
      <c r="Q104" s="213">
        <f>'цены и инфл'!O22</f>
        <v>2336.9106196650964</v>
      </c>
    </row>
    <row r="105" spans="2:17" x14ac:dyDescent="0.25">
      <c r="B105" s="217" t="s">
        <v>251</v>
      </c>
      <c r="C105" s="185" t="s">
        <v>3</v>
      </c>
      <c r="D105" s="216">
        <f t="shared" si="43"/>
        <v>1633.9332967041653</v>
      </c>
      <c r="E105" s="213"/>
      <c r="F105" s="213">
        <f>'цены и инфл'!D21</f>
        <v>1482.07698986319</v>
      </c>
      <c r="G105" s="213">
        <f>'цены и инфл'!E21</f>
        <v>1482.07698986319</v>
      </c>
      <c r="H105" s="213">
        <f>'цены и инфл'!F21</f>
        <v>1596.0829121603585</v>
      </c>
      <c r="I105" s="213">
        <f>'цены и инфл'!G21</f>
        <v>1542.5459590614525</v>
      </c>
      <c r="J105" s="213">
        <f>'цены и инфл'!H21</f>
        <v>1573.3968782426816</v>
      </c>
      <c r="K105" s="213">
        <f>'цены и инфл'!I21</f>
        <v>1604.8648158075355</v>
      </c>
      <c r="L105" s="213">
        <f>'цены и инфл'!J21</f>
        <v>1636.9621121236862</v>
      </c>
      <c r="M105" s="213">
        <f>'цены и инфл'!K21</f>
        <v>1669.7013543661599</v>
      </c>
      <c r="N105" s="213">
        <f>'цены и инфл'!L21</f>
        <v>1703.095381453483</v>
      </c>
      <c r="O105" s="213">
        <f>'цены и инфл'!M21</f>
        <v>1737.1572890825528</v>
      </c>
      <c r="P105" s="213">
        <f>'цены и инфл'!N21</f>
        <v>1771.9004348642038</v>
      </c>
      <c r="Q105" s="213">
        <f>'цены и инфл'!O21</f>
        <v>1807.3384435614878</v>
      </c>
    </row>
    <row r="106" spans="2:17" x14ac:dyDescent="0.25">
      <c r="B106" s="648" t="s">
        <v>252</v>
      </c>
      <c r="C106" s="218" t="s">
        <v>265</v>
      </c>
      <c r="D106" s="216">
        <f t="shared" si="43"/>
        <v>1743.6190520279913</v>
      </c>
      <c r="E106" s="213"/>
      <c r="F106" s="213">
        <f>'цены и инфл'!D17</f>
        <v>1898.67</v>
      </c>
      <c r="G106" s="213">
        <f>'цены и инфл'!E17</f>
        <v>1598.88</v>
      </c>
      <c r="H106" s="213">
        <f>'цены и инфл'!F17</f>
        <v>1598.88</v>
      </c>
      <c r="I106" s="213">
        <f>'цены и инфл'!G17</f>
        <v>1622.5116862320001</v>
      </c>
      <c r="J106" s="213">
        <f>'цены и инфл'!H17</f>
        <v>1654.96191995664</v>
      </c>
      <c r="K106" s="213">
        <f>'цены и инфл'!I17</f>
        <v>1688.0611583557729</v>
      </c>
      <c r="L106" s="213">
        <f>'цены и инфл'!J17</f>
        <v>1721.8223815228882</v>
      </c>
      <c r="M106" s="213">
        <f>'цены и инфл'!K17</f>
        <v>1756.2588291533459</v>
      </c>
      <c r="N106" s="213">
        <f>'цены и инфл'!L17</f>
        <v>1791.3840057364127</v>
      </c>
      <c r="O106" s="213">
        <f>'цены и инфл'!M17</f>
        <v>1827.2116858511411</v>
      </c>
      <c r="P106" s="213">
        <f>'цены и инфл'!N17</f>
        <v>1863.755919568164</v>
      </c>
      <c r="Q106" s="213">
        <f>'цены и инфл'!O17</f>
        <v>1901.0310379595273</v>
      </c>
    </row>
    <row r="107" spans="2:17" x14ac:dyDescent="0.25">
      <c r="B107" s="648"/>
      <c r="C107" s="185" t="s">
        <v>53</v>
      </c>
      <c r="D107" s="216">
        <f t="shared" si="43"/>
        <v>56.058654253983299</v>
      </c>
      <c r="E107" s="219"/>
      <c r="F107" s="213">
        <f>'цены и инфл'!D18</f>
        <v>61.043657987456889</v>
      </c>
      <c r="G107" s="213">
        <f>'цены и инфл'!E18</f>
        <v>51.4051856736479</v>
      </c>
      <c r="H107" s="213">
        <f>'цены и инфл'!F18</f>
        <v>51.4051856736479</v>
      </c>
      <c r="I107" s="213">
        <f>'цены и инфл'!G18</f>
        <v>52.164962028682268</v>
      </c>
      <c r="J107" s="213">
        <f>'цены и инфл'!H18</f>
        <v>53.208261269255914</v>
      </c>
      <c r="K107" s="213">
        <f>'цены и инфл'!I18</f>
        <v>54.272426494641032</v>
      </c>
      <c r="L107" s="213">
        <f>'цены и инфл'!J18</f>
        <v>55.357875024533854</v>
      </c>
      <c r="M107" s="213">
        <f>'цены и инфл'!K18</f>
        <v>56.465032525024533</v>
      </c>
      <c r="N107" s="213">
        <f>'цены и инфл'!L18</f>
        <v>57.594333175525023</v>
      </c>
      <c r="O107" s="213">
        <f>'цены и инфл'!M18</f>
        <v>58.746219839035525</v>
      </c>
      <c r="P107" s="213">
        <f>'цены и инфл'!N18</f>
        <v>59.921144235816236</v>
      </c>
      <c r="Q107" s="213">
        <f>'цены и инфл'!O18</f>
        <v>61.119567120532565</v>
      </c>
    </row>
    <row r="108" spans="2:17" x14ac:dyDescent="0.25">
      <c r="B108" s="648" t="s">
        <v>253</v>
      </c>
      <c r="C108" s="218" t="s">
        <v>265</v>
      </c>
      <c r="D108" s="216">
        <f t="shared" si="43"/>
        <v>23.440438607577732</v>
      </c>
      <c r="E108" s="213"/>
      <c r="F108" s="213">
        <f>'цены и инфл'!D19</f>
        <v>22.562999999999999</v>
      </c>
      <c r="G108" s="213">
        <f>'цены и инфл'!E19</f>
        <v>20.600999999999999</v>
      </c>
      <c r="H108" s="213">
        <f>'цены и инфл'!F19</f>
        <v>20.600999999999999</v>
      </c>
      <c r="I108" s="213">
        <f>'цены и инфл'!G19</f>
        <v>22.299184928159999</v>
      </c>
      <c r="J108" s="213">
        <f>'цены и инфл'!H19</f>
        <v>22.745168626723196</v>
      </c>
      <c r="K108" s="213">
        <f>'цены и инфл'!I19</f>
        <v>23.200071999257659</v>
      </c>
      <c r="L108" s="213">
        <f>'цены и инфл'!J19</f>
        <v>23.664073439242809</v>
      </c>
      <c r="M108" s="213">
        <f>'цены и инфл'!K19</f>
        <v>24.137354908027664</v>
      </c>
      <c r="N108" s="213">
        <f>'цены и инфл'!L19</f>
        <v>24.620102006188219</v>
      </c>
      <c r="O108" s="213">
        <f>'цены и инфл'!M19</f>
        <v>25.112504046311983</v>
      </c>
      <c r="P108" s="213">
        <f>'цены и инфл'!N19</f>
        <v>25.614754127238225</v>
      </c>
      <c r="Q108" s="213">
        <f>'цены и инфл'!O19</f>
        <v>26.127049209782989</v>
      </c>
    </row>
    <row r="109" spans="2:17" x14ac:dyDescent="0.25">
      <c r="B109" s="648"/>
      <c r="C109" s="185" t="s">
        <v>53</v>
      </c>
      <c r="D109" s="216">
        <f t="shared" si="43"/>
        <v>0.75362760112971461</v>
      </c>
      <c r="E109" s="219"/>
      <c r="F109" s="219">
        <f>'цены и инфл'!D20/1000</f>
        <v>0.72541729482795314</v>
      </c>
      <c r="G109" s="219">
        <f>'цены и инфл'!E20/1000</f>
        <v>0.66233753006030505</v>
      </c>
      <c r="H109" s="219">
        <f>'цены и инфл'!F20/1000</f>
        <v>0.66233753006030505</v>
      </c>
      <c r="I109" s="219">
        <f>'цены и инфл'!G20/1000</f>
        <v>0.71693544331224091</v>
      </c>
      <c r="J109" s="219">
        <f>'цены и инфл'!H20/1000</f>
        <v>0.73127415217848568</v>
      </c>
      <c r="K109" s="219">
        <f>'цены и инфл'!I20/1000</f>
        <v>0.74589963522205538</v>
      </c>
      <c r="L109" s="219">
        <f>'цены и инфл'!J20/1000</f>
        <v>0.76081762792649643</v>
      </c>
      <c r="M109" s="219">
        <f>'цены и инфл'!K20/1000</f>
        <v>0.77603398048502636</v>
      </c>
      <c r="N109" s="219">
        <f>'цены и инфл'!L20/1000</f>
        <v>0.79155466009472697</v>
      </c>
      <c r="O109" s="219">
        <f>'цены и инфл'!M20/1000</f>
        <v>0.80738575329662143</v>
      </c>
      <c r="P109" s="219">
        <f>'цены и инфл'!N20/1000</f>
        <v>0.82353346836255403</v>
      </c>
      <c r="Q109" s="219">
        <f>'цены и инфл'!O20/1000</f>
        <v>0.84000413772980509</v>
      </c>
    </row>
    <row r="110" spans="2:17" x14ac:dyDescent="0.25">
      <c r="B110" s="649" t="s">
        <v>266</v>
      </c>
      <c r="C110" s="562" t="s">
        <v>6</v>
      </c>
      <c r="D110" s="165">
        <f>SUM(F110:Q110)</f>
        <v>4297449.0870087435</v>
      </c>
      <c r="E110" s="177"/>
      <c r="F110" s="220">
        <f>F112+F113+F114+F115+F116</f>
        <v>318763.84090997116</v>
      </c>
      <c r="G110" s="220">
        <f t="shared" ref="G110:Q110" si="44">G112+G113+G114+G115+G116</f>
        <v>322870.24433193653</v>
      </c>
      <c r="H110" s="220">
        <f t="shared" si="44"/>
        <v>346775.65697080962</v>
      </c>
      <c r="I110" s="220">
        <f t="shared" si="44"/>
        <v>359101.57627243327</v>
      </c>
      <c r="J110" s="220">
        <f t="shared" si="44"/>
        <v>366308.888706183</v>
      </c>
      <c r="K110" s="220">
        <f t="shared" si="44"/>
        <v>373725.77777250018</v>
      </c>
      <c r="L110" s="220">
        <f t="shared" si="44"/>
        <v>381291.00462014362</v>
      </c>
      <c r="M110" s="220">
        <f t="shared" si="44"/>
        <v>389007.53600474005</v>
      </c>
      <c r="N110" s="220">
        <f t="shared" si="44"/>
        <v>396878.39801702835</v>
      </c>
      <c r="O110" s="220">
        <f t="shared" si="44"/>
        <v>404906.67726956244</v>
      </c>
      <c r="P110" s="220">
        <f t="shared" si="44"/>
        <v>413095.52210714726</v>
      </c>
      <c r="Q110" s="220">
        <f t="shared" si="44"/>
        <v>224723.96402628813</v>
      </c>
    </row>
    <row r="111" spans="2:17" x14ac:dyDescent="0.25">
      <c r="B111" s="650"/>
      <c r="C111" s="564" t="s">
        <v>3</v>
      </c>
      <c r="D111" s="177">
        <f>D110/D36</f>
        <v>267.62822701399671</v>
      </c>
      <c r="E111" s="177"/>
      <c r="F111" s="165">
        <f t="shared" ref="F111:Q111" si="45">F110/F36</f>
        <v>255.01107272797694</v>
      </c>
      <c r="G111" s="165">
        <f t="shared" si="45"/>
        <v>248.36172640918195</v>
      </c>
      <c r="H111" s="165">
        <f t="shared" si="45"/>
        <v>247.69689783629258</v>
      </c>
      <c r="I111" s="165">
        <f t="shared" si="45"/>
        <v>239.40105084828886</v>
      </c>
      <c r="J111" s="165">
        <f t="shared" si="45"/>
        <v>244.20592580412199</v>
      </c>
      <c r="K111" s="165">
        <f t="shared" si="45"/>
        <v>249.15051851500013</v>
      </c>
      <c r="L111" s="165">
        <f t="shared" si="45"/>
        <v>254.19400308009574</v>
      </c>
      <c r="M111" s="165">
        <f t="shared" si="45"/>
        <v>259.33835733649335</v>
      </c>
      <c r="N111" s="165">
        <f t="shared" si="45"/>
        <v>264.58559867801893</v>
      </c>
      <c r="O111" s="165">
        <f t="shared" si="45"/>
        <v>269.93778484637494</v>
      </c>
      <c r="P111" s="165">
        <f t="shared" si="45"/>
        <v>413.09552210714725</v>
      </c>
      <c r="Q111" s="165">
        <f t="shared" si="45"/>
        <v>369.89589705627202</v>
      </c>
    </row>
    <row r="112" spans="2:17" x14ac:dyDescent="0.25">
      <c r="B112" s="221" t="s">
        <v>250</v>
      </c>
      <c r="C112" s="179" t="s">
        <v>6</v>
      </c>
      <c r="D112" s="165">
        <f>SUM(F112:Q112)</f>
        <v>2238070.8341038534</v>
      </c>
      <c r="E112" s="167"/>
      <c r="F112" s="213">
        <f t="shared" ref="F112:Q114" si="46">F87*F103/1000</f>
        <v>161710.24182409202</v>
      </c>
      <c r="G112" s="213">
        <f t="shared" si="46"/>
        <v>178899.82676791903</v>
      </c>
      <c r="H112" s="213">
        <f t="shared" si="46"/>
        <v>186577.30921221027</v>
      </c>
      <c r="I112" s="213">
        <f t="shared" si="46"/>
        <v>185806.96939736753</v>
      </c>
      <c r="J112" s="213">
        <f t="shared" si="46"/>
        <v>189523.10878531489</v>
      </c>
      <c r="K112" s="213">
        <f t="shared" si="46"/>
        <v>193313.57096102121</v>
      </c>
      <c r="L112" s="213">
        <f t="shared" si="46"/>
        <v>197179.84238024164</v>
      </c>
      <c r="M112" s="213">
        <f t="shared" si="46"/>
        <v>201123.43922784651</v>
      </c>
      <c r="N112" s="213">
        <f t="shared" si="46"/>
        <v>205145.90801240344</v>
      </c>
      <c r="O112" s="213">
        <f t="shared" si="46"/>
        <v>209248.82617265152</v>
      </c>
      <c r="P112" s="213">
        <f t="shared" si="46"/>
        <v>213433.8026961046</v>
      </c>
      <c r="Q112" s="213">
        <f t="shared" si="46"/>
        <v>116107.98866668092</v>
      </c>
    </row>
    <row r="113" spans="2:17" x14ac:dyDescent="0.25">
      <c r="B113" s="195" t="s">
        <v>366</v>
      </c>
      <c r="C113" s="179" t="s">
        <v>6</v>
      </c>
      <c r="D113" s="165">
        <f>SUM(F113:Q113)</f>
        <v>244440.26525998389</v>
      </c>
      <c r="E113" s="167"/>
      <c r="F113" s="213">
        <f>F88*F104/1000</f>
        <v>18608.084878725207</v>
      </c>
      <c r="G113" s="213">
        <f t="shared" si="46"/>
        <v>17599.275073517903</v>
      </c>
      <c r="H113" s="213">
        <f t="shared" si="46"/>
        <v>18953.065463788509</v>
      </c>
      <c r="I113" s="213">
        <f t="shared" si="46"/>
        <v>20286.529151972536</v>
      </c>
      <c r="J113" s="213">
        <f t="shared" si="46"/>
        <v>20717.540643313074</v>
      </c>
      <c r="K113" s="213">
        <f t="shared" si="46"/>
        <v>21222.602748372821</v>
      </c>
      <c r="L113" s="213">
        <f t="shared" si="46"/>
        <v>21737.766095533774</v>
      </c>
      <c r="M113" s="213">
        <f t="shared" si="46"/>
        <v>22263.232709637941</v>
      </c>
      <c r="N113" s="213">
        <f t="shared" si="46"/>
        <v>22799.208656024188</v>
      </c>
      <c r="O113" s="213">
        <f t="shared" si="46"/>
        <v>23345.904121338161</v>
      </c>
      <c r="P113" s="213">
        <f t="shared" si="46"/>
        <v>23903.533495958414</v>
      </c>
      <c r="Q113" s="213">
        <f t="shared" si="46"/>
        <v>13003.522221801381</v>
      </c>
    </row>
    <row r="114" spans="2:17" x14ac:dyDescent="0.25">
      <c r="B114" s="192" t="s">
        <v>251</v>
      </c>
      <c r="C114" s="179" t="s">
        <v>6</v>
      </c>
      <c r="D114" s="165">
        <f>SUM(F114:Q114)</f>
        <v>886414.22195551195</v>
      </c>
      <c r="E114" s="167"/>
      <c r="F114" s="213">
        <f>F89*F105/1000</f>
        <v>64175.023339618288</v>
      </c>
      <c r="G114" s="213">
        <f t="shared" si="46"/>
        <v>62207.483896578757</v>
      </c>
      <c r="H114" s="213">
        <f t="shared" si="46"/>
        <v>72145.957655203776</v>
      </c>
      <c r="I114" s="213">
        <f t="shared" si="46"/>
        <v>74706.414011470741</v>
      </c>
      <c r="J114" s="213">
        <f t="shared" si="46"/>
        <v>76200.542291700142</v>
      </c>
      <c r="K114" s="213">
        <f t="shared" si="46"/>
        <v>77724.553137534152</v>
      </c>
      <c r="L114" s="213">
        <f t="shared" si="46"/>
        <v>79279.044200284843</v>
      </c>
      <c r="M114" s="213">
        <f t="shared" si="46"/>
        <v>80864.625084290528</v>
      </c>
      <c r="N114" s="213">
        <f t="shared" si="46"/>
        <v>82481.917585976349</v>
      </c>
      <c r="O114" s="213">
        <f t="shared" si="46"/>
        <v>84131.55593769587</v>
      </c>
      <c r="P114" s="213">
        <f t="shared" si="46"/>
        <v>85814.187056449795</v>
      </c>
      <c r="Q114" s="213">
        <f t="shared" si="46"/>
        <v>46682.917758708689</v>
      </c>
    </row>
    <row r="115" spans="2:17" x14ac:dyDescent="0.25">
      <c r="B115" s="192" t="s">
        <v>252</v>
      </c>
      <c r="C115" s="179" t="s">
        <v>6</v>
      </c>
      <c r="D115" s="165">
        <f>SUM(F115:Q115)</f>
        <v>331007.28203942353</v>
      </c>
      <c r="E115" s="167"/>
      <c r="F115" s="213">
        <f t="shared" ref="F115:Q115" si="47">F90*F107</f>
        <v>28541.50095715954</v>
      </c>
      <c r="G115" s="213">
        <f t="shared" si="47"/>
        <v>23522.814501951369</v>
      </c>
      <c r="H115" s="213">
        <f t="shared" si="47"/>
        <v>25332.261771332243</v>
      </c>
      <c r="I115" s="213">
        <f t="shared" si="47"/>
        <v>27542.867571591218</v>
      </c>
      <c r="J115" s="213">
        <f t="shared" si="47"/>
        <v>28093.724923023041</v>
      </c>
      <c r="K115" s="213">
        <f t="shared" si="47"/>
        <v>28655.599421483501</v>
      </c>
      <c r="L115" s="213">
        <f t="shared" si="47"/>
        <v>29228.711409913172</v>
      </c>
      <c r="M115" s="213">
        <f t="shared" si="47"/>
        <v>29813.285638111436</v>
      </c>
      <c r="N115" s="213">
        <f t="shared" si="47"/>
        <v>30409.551350873666</v>
      </c>
      <c r="O115" s="213">
        <f t="shared" si="47"/>
        <v>31017.74237789114</v>
      </c>
      <c r="P115" s="213">
        <f t="shared" si="47"/>
        <v>31638.097225448964</v>
      </c>
      <c r="Q115" s="213">
        <f t="shared" si="47"/>
        <v>17211.124890644238</v>
      </c>
    </row>
    <row r="116" spans="2:17" x14ac:dyDescent="0.25">
      <c r="B116" s="192" t="s">
        <v>253</v>
      </c>
      <c r="C116" s="179" t="s">
        <v>6</v>
      </c>
      <c r="D116" s="165">
        <f>SUM(F116:Q116)</f>
        <v>597516.48364997073</v>
      </c>
      <c r="E116" s="167"/>
      <c r="F116" s="213">
        <f t="shared" ref="F116:Q116" si="48">F91*F109</f>
        <v>45728.989910376091</v>
      </c>
      <c r="G116" s="213">
        <f t="shared" si="48"/>
        <v>40640.844091969462</v>
      </c>
      <c r="H116" s="213">
        <f t="shared" si="48"/>
        <v>43767.062868274799</v>
      </c>
      <c r="I116" s="213">
        <f t="shared" si="48"/>
        <v>50758.796140031242</v>
      </c>
      <c r="J116" s="213">
        <f t="shared" si="48"/>
        <v>51773.972062831861</v>
      </c>
      <c r="K116" s="213">
        <f t="shared" si="48"/>
        <v>52809.451504088502</v>
      </c>
      <c r="L116" s="213">
        <f t="shared" si="48"/>
        <v>53865.640534170263</v>
      </c>
      <c r="M116" s="213">
        <f t="shared" si="48"/>
        <v>54942.953344853668</v>
      </c>
      <c r="N116" s="213">
        <f t="shared" si="48"/>
        <v>56041.812411750747</v>
      </c>
      <c r="O116" s="213">
        <f t="shared" si="48"/>
        <v>57162.64865998576</v>
      </c>
      <c r="P116" s="213">
        <f t="shared" si="48"/>
        <v>58305.901633185487</v>
      </c>
      <c r="Q116" s="213">
        <f t="shared" si="48"/>
        <v>31718.410488452901</v>
      </c>
    </row>
    <row r="117" spans="2:17" x14ac:dyDescent="0.25">
      <c r="B117" s="215" t="s">
        <v>267</v>
      </c>
      <c r="C117" s="222" t="s">
        <v>2</v>
      </c>
      <c r="D117" s="183">
        <v>100</v>
      </c>
      <c r="E117" s="183"/>
      <c r="F117" s="213"/>
      <c r="G117" s="213"/>
      <c r="H117" s="213"/>
      <c r="I117" s="213"/>
      <c r="J117" s="213"/>
      <c r="K117" s="213"/>
      <c r="L117" s="213"/>
      <c r="M117" s="213"/>
      <c r="N117" s="213"/>
      <c r="O117" s="213"/>
      <c r="P117" s="213"/>
      <c r="Q117" s="213"/>
    </row>
    <row r="118" spans="2:17" x14ac:dyDescent="0.25">
      <c r="B118" s="192" t="s">
        <v>250</v>
      </c>
      <c r="C118" s="222" t="s">
        <v>2</v>
      </c>
      <c r="D118" s="183">
        <f>D112*100/$D$110</f>
        <v>52.079054080467806</v>
      </c>
      <c r="E118" s="183"/>
      <c r="F118" s="183">
        <f>F112*100/F110</f>
        <v>50.730422046132908</v>
      </c>
      <c r="G118" s="183">
        <f t="shared" ref="G118:Q118" si="49">G112*100/G110</f>
        <v>55.409202275077305</v>
      </c>
      <c r="H118" s="183">
        <f t="shared" si="49"/>
        <v>53.803462112081206</v>
      </c>
      <c r="I118" s="183">
        <f t="shared" si="49"/>
        <v>51.742175939769375</v>
      </c>
      <c r="J118" s="183">
        <f t="shared" si="49"/>
        <v>51.738604939322592</v>
      </c>
      <c r="K118" s="183">
        <f t="shared" si="49"/>
        <v>51.726046866025357</v>
      </c>
      <c r="L118" s="183">
        <f t="shared" si="49"/>
        <v>51.713740946152029</v>
      </c>
      <c r="M118" s="183">
        <f t="shared" si="49"/>
        <v>51.701682001706992</v>
      </c>
      <c r="N118" s="183">
        <f t="shared" si="49"/>
        <v>51.689864965540785</v>
      </c>
      <c r="O118" s="183">
        <f t="shared" si="49"/>
        <v>51.678284878800923</v>
      </c>
      <c r="P118" s="183">
        <f t="shared" si="49"/>
        <v>51.666936888448021</v>
      </c>
      <c r="Q118" s="183">
        <f t="shared" si="49"/>
        <v>51.666936888448021</v>
      </c>
    </row>
    <row r="119" spans="2:17" x14ac:dyDescent="0.25">
      <c r="B119" s="195" t="s">
        <v>366</v>
      </c>
      <c r="C119" s="222" t="s">
        <v>2</v>
      </c>
      <c r="D119" s="183">
        <f>D113*100/$D$110</f>
        <v>5.6880316743933195</v>
      </c>
      <c r="E119" s="183"/>
      <c r="F119" s="183">
        <f>F113*100/F110</f>
        <v>5.8375770682160626</v>
      </c>
      <c r="G119" s="183">
        <f t="shared" ref="G119:Q119" si="50">G113*100/G110</f>
        <v>5.450881703246842</v>
      </c>
      <c r="H119" s="183">
        <f t="shared" si="50"/>
        <v>5.4655120919816795</v>
      </c>
      <c r="I119" s="183">
        <f t="shared" si="50"/>
        <v>5.649245364654738</v>
      </c>
      <c r="J119" s="183">
        <f t="shared" si="50"/>
        <v>5.6557570078324382</v>
      </c>
      <c r="K119" s="183">
        <f t="shared" si="50"/>
        <v>5.6786563867402675</v>
      </c>
      <c r="L119" s="183">
        <f t="shared" si="50"/>
        <v>5.7010959692557535</v>
      </c>
      <c r="M119" s="183">
        <f t="shared" si="50"/>
        <v>5.7230851973434937</v>
      </c>
      <c r="N119" s="183">
        <f t="shared" si="50"/>
        <v>5.7446333108424739</v>
      </c>
      <c r="O119" s="183">
        <f t="shared" si="50"/>
        <v>5.7657493521145042</v>
      </c>
      <c r="P119" s="183">
        <f t="shared" si="50"/>
        <v>5.7864421705734204</v>
      </c>
      <c r="Q119" s="183">
        <f t="shared" si="50"/>
        <v>5.7864421705734213</v>
      </c>
    </row>
    <row r="120" spans="2:17" x14ac:dyDescent="0.25">
      <c r="B120" s="192" t="s">
        <v>251</v>
      </c>
      <c r="C120" s="222" t="s">
        <v>2</v>
      </c>
      <c r="D120" s="183">
        <f>D114*100/$D$110</f>
        <v>20.626520617432238</v>
      </c>
      <c r="E120" s="183"/>
      <c r="F120" s="183">
        <f>F114*100/F110</f>
        <v>20.132466454293766</v>
      </c>
      <c r="G120" s="183">
        <f t="shared" ref="G120:Q120" si="51">G114*100/G110</f>
        <v>19.26702289500065</v>
      </c>
      <c r="H120" s="183">
        <f t="shared" si="51"/>
        <v>20.804793013852404</v>
      </c>
      <c r="I120" s="183">
        <f t="shared" si="51"/>
        <v>20.803699829709057</v>
      </c>
      <c r="J120" s="183">
        <f t="shared" si="51"/>
        <v>20.802264056666321</v>
      </c>
      <c r="K120" s="183">
        <f t="shared" si="51"/>
        <v>20.797214899328612</v>
      </c>
      <c r="L120" s="183">
        <f t="shared" si="51"/>
        <v>20.792267123968895</v>
      </c>
      <c r="M120" s="183">
        <f t="shared" si="51"/>
        <v>20.787418648698157</v>
      </c>
      <c r="N120" s="183">
        <f t="shared" si="51"/>
        <v>20.782667436194753</v>
      </c>
      <c r="O120" s="183">
        <f t="shared" si="51"/>
        <v>20.778011492679376</v>
      </c>
      <c r="P120" s="183">
        <f t="shared" si="51"/>
        <v>20.773448866916457</v>
      </c>
      <c r="Q120" s="183">
        <f t="shared" si="51"/>
        <v>20.773448866916453</v>
      </c>
    </row>
    <row r="121" spans="2:17" x14ac:dyDescent="0.25">
      <c r="B121" s="192" t="s">
        <v>252</v>
      </c>
      <c r="C121" s="222" t="s">
        <v>2</v>
      </c>
      <c r="D121" s="183">
        <f>D115*100/$D$110</f>
        <v>7.7024131138647762</v>
      </c>
      <c r="E121" s="183"/>
      <c r="F121" s="183">
        <f>F115*100/F110</f>
        <v>8.9538075823413568</v>
      </c>
      <c r="G121" s="183">
        <f t="shared" ref="G121:Q121" si="52">G115*100/G110</f>
        <v>7.2855318552576271</v>
      </c>
      <c r="H121" s="183">
        <f t="shared" si="52"/>
        <v>7.305086519802809</v>
      </c>
      <c r="I121" s="183">
        <f t="shared" si="52"/>
        <v>7.6699378090993831</v>
      </c>
      <c r="J121" s="183">
        <f t="shared" si="52"/>
        <v>7.6694084662403776</v>
      </c>
      <c r="K121" s="183">
        <f t="shared" si="52"/>
        <v>7.6675469356912158</v>
      </c>
      <c r="L121" s="183">
        <f t="shared" si="52"/>
        <v>7.6657227827947079</v>
      </c>
      <c r="M121" s="183">
        <f t="shared" si="52"/>
        <v>7.6639352399970369</v>
      </c>
      <c r="N121" s="183">
        <f t="shared" si="52"/>
        <v>7.6621835561755427</v>
      </c>
      <c r="O121" s="183">
        <f t="shared" si="52"/>
        <v>7.6604669962608192</v>
      </c>
      <c r="P121" s="183">
        <f t="shared" si="52"/>
        <v>7.6587848408685453</v>
      </c>
      <c r="Q121" s="183">
        <f t="shared" si="52"/>
        <v>7.6587848408685453</v>
      </c>
    </row>
    <row r="122" spans="2:17" x14ac:dyDescent="0.25">
      <c r="B122" s="192" t="s">
        <v>253</v>
      </c>
      <c r="C122" s="222" t="s">
        <v>2</v>
      </c>
      <c r="D122" s="183">
        <f>D116*100/$D$110</f>
        <v>13.903980513841862</v>
      </c>
      <c r="E122" s="183"/>
      <c r="F122" s="183">
        <f>F116*100/F110</f>
        <v>14.345726849015909</v>
      </c>
      <c r="G122" s="183">
        <f t="shared" ref="G122:Q122" si="53">G116*100/G110</f>
        <v>12.587361271417571</v>
      </c>
      <c r="H122" s="183">
        <f t="shared" si="53"/>
        <v>12.621146262281886</v>
      </c>
      <c r="I122" s="183">
        <f t="shared" si="53"/>
        <v>14.134941056767447</v>
      </c>
      <c r="J122" s="183">
        <f t="shared" si="53"/>
        <v>14.133965529938273</v>
      </c>
      <c r="K122" s="183">
        <f t="shared" si="53"/>
        <v>14.13053491221455</v>
      </c>
      <c r="L122" s="183">
        <f t="shared" si="53"/>
        <v>14.127173177828633</v>
      </c>
      <c r="M122" s="183">
        <f t="shared" si="53"/>
        <v>14.123878912254336</v>
      </c>
      <c r="N122" s="183">
        <f t="shared" si="53"/>
        <v>14.12065073124646</v>
      </c>
      <c r="O122" s="183">
        <f t="shared" si="53"/>
        <v>14.117487280144388</v>
      </c>
      <c r="P122" s="183">
        <f t="shared" si="53"/>
        <v>14.114387233193563</v>
      </c>
      <c r="Q122" s="183">
        <f t="shared" si="53"/>
        <v>14.114387233193561</v>
      </c>
    </row>
    <row r="123" spans="2:17" ht="26.4" x14ac:dyDescent="0.25">
      <c r="B123" s="223" t="s">
        <v>268</v>
      </c>
      <c r="C123" s="224" t="s">
        <v>269</v>
      </c>
      <c r="D123" s="165">
        <f>SUM(F123:Q123)</f>
        <v>199782.8742175496</v>
      </c>
      <c r="E123" s="225"/>
      <c r="F123" s="226">
        <f t="shared" ref="F123:Q123" si="54">F110/F87*1000</f>
        <v>15935.21140559135</v>
      </c>
      <c r="G123" s="226">
        <f t="shared" si="54"/>
        <v>16116.456533099477</v>
      </c>
      <c r="H123" s="226">
        <f t="shared" si="54"/>
        <v>16073.315100029873</v>
      </c>
      <c r="I123" s="226">
        <f t="shared" si="54"/>
        <v>15534.988767223127</v>
      </c>
      <c r="J123" s="226">
        <f t="shared" si="54"/>
        <v>15846.782212583073</v>
      </c>
      <c r="K123" s="226">
        <f t="shared" si="54"/>
        <v>16167.642091642932</v>
      </c>
      <c r="L123" s="226">
        <f t="shared" si="54"/>
        <v>16494.919168283985</v>
      </c>
      <c r="M123" s="226">
        <f t="shared" si="54"/>
        <v>16828.74178645786</v>
      </c>
      <c r="N123" s="226">
        <f t="shared" si="54"/>
        <v>17169.240856995217</v>
      </c>
      <c r="O123" s="226">
        <f t="shared" si="54"/>
        <v>17516.549908943318</v>
      </c>
      <c r="P123" s="226">
        <f t="shared" si="54"/>
        <v>17870.805141930381</v>
      </c>
      <c r="Q123" s="226">
        <f t="shared" si="54"/>
        <v>18228.221244768989</v>
      </c>
    </row>
    <row r="124" spans="2:17" x14ac:dyDescent="0.25">
      <c r="B124" s="214" t="s">
        <v>270</v>
      </c>
      <c r="C124" s="168"/>
      <c r="D124" s="183"/>
      <c r="E124" s="183"/>
      <c r="F124" s="168"/>
      <c r="G124" s="211"/>
      <c r="H124" s="211"/>
      <c r="I124" s="211"/>
      <c r="J124" s="211"/>
      <c r="K124" s="211"/>
      <c r="L124" s="211"/>
      <c r="M124" s="211"/>
      <c r="N124" s="211"/>
      <c r="O124" s="211"/>
      <c r="P124" s="211"/>
      <c r="Q124" s="211"/>
    </row>
    <row r="125" spans="2:17" x14ac:dyDescent="0.25">
      <c r="B125" s="651" t="s">
        <v>32</v>
      </c>
      <c r="C125" s="553" t="s">
        <v>271</v>
      </c>
      <c r="D125" s="165">
        <f>SUM(F125:Q125)</f>
        <v>1109828.1222138293</v>
      </c>
      <c r="E125" s="177"/>
      <c r="F125" s="227">
        <f>F129+F131+F133+F135+F137+F139</f>
        <v>76907.715864116093</v>
      </c>
      <c r="G125" s="227">
        <f t="shared" ref="G125:Q125" si="55">G129+G131+G133+G135+G137+G139</f>
        <v>80623.896694670198</v>
      </c>
      <c r="H125" s="227">
        <f t="shared" si="55"/>
        <v>89517.332683913046</v>
      </c>
      <c r="I125" s="227">
        <f t="shared" si="55"/>
        <v>99460.150707019071</v>
      </c>
      <c r="J125" s="227">
        <f t="shared" si="55"/>
        <v>101449.35372115945</v>
      </c>
      <c r="K125" s="227">
        <f t="shared" si="55"/>
        <v>103478.34079558266</v>
      </c>
      <c r="L125" s="227">
        <f t="shared" si="55"/>
        <v>105547.9076114943</v>
      </c>
      <c r="M125" s="227">
        <f t="shared" si="55"/>
        <v>107658.8657637242</v>
      </c>
      <c r="N125" s="227">
        <f t="shared" si="55"/>
        <v>109812.04307899867</v>
      </c>
      <c r="O125" s="227">
        <f t="shared" si="55"/>
        <v>112008.28394057865</v>
      </c>
      <c r="P125" s="227">
        <f t="shared" si="55"/>
        <v>76165.633079593477</v>
      </c>
      <c r="Q125" s="227">
        <f t="shared" si="55"/>
        <v>47198.598272979565</v>
      </c>
    </row>
    <row r="126" spans="2:17" x14ac:dyDescent="0.25">
      <c r="B126" s="652"/>
      <c r="C126" s="564" t="s">
        <v>3</v>
      </c>
      <c r="D126" s="228">
        <f>D125/D22</f>
        <v>69.11573043093415</v>
      </c>
      <c r="E126" s="228"/>
      <c r="F126" s="228">
        <f t="shared" ref="F126:Q126" si="56">F125/F22</f>
        <v>61.526172691292878</v>
      </c>
      <c r="G126" s="228">
        <f t="shared" si="56"/>
        <v>62.018382072823229</v>
      </c>
      <c r="H126" s="228">
        <f t="shared" si="56"/>
        <v>63.940951917080746</v>
      </c>
      <c r="I126" s="228">
        <f t="shared" si="56"/>
        <v>66.306767138012717</v>
      </c>
      <c r="J126" s="228">
        <f t="shared" si="56"/>
        <v>67.63290248077297</v>
      </c>
      <c r="K126" s="228">
        <f t="shared" si="56"/>
        <v>68.98556053038844</v>
      </c>
      <c r="L126" s="228">
        <f t="shared" si="56"/>
        <v>70.365271740996207</v>
      </c>
      <c r="M126" s="228">
        <f t="shared" si="56"/>
        <v>71.772577175816139</v>
      </c>
      <c r="N126" s="228">
        <f t="shared" si="56"/>
        <v>73.208028719332447</v>
      </c>
      <c r="O126" s="228">
        <f t="shared" si="56"/>
        <v>74.6721892937191</v>
      </c>
      <c r="P126" s="228">
        <f t="shared" si="56"/>
        <v>76.165633079593476</v>
      </c>
      <c r="Q126" s="228">
        <f t="shared" si="56"/>
        <v>77.688945741185364</v>
      </c>
    </row>
    <row r="127" spans="2:17" x14ac:dyDescent="0.25">
      <c r="B127" s="168" t="s">
        <v>272</v>
      </c>
      <c r="C127" s="168"/>
      <c r="D127" s="183"/>
      <c r="E127" s="183"/>
      <c r="F127" s="168"/>
      <c r="G127" s="211"/>
      <c r="H127" s="211"/>
      <c r="I127" s="211"/>
      <c r="J127" s="211"/>
      <c r="K127" s="211"/>
      <c r="L127" s="211"/>
      <c r="M127" s="211"/>
      <c r="N127" s="211"/>
      <c r="O127" s="211"/>
      <c r="P127" s="211"/>
      <c r="Q127" s="211"/>
    </row>
    <row r="128" spans="2:17" ht="15.6" x14ac:dyDescent="0.25">
      <c r="B128" s="672" t="s">
        <v>273</v>
      </c>
      <c r="C128" s="193" t="s">
        <v>545</v>
      </c>
      <c r="D128" s="172">
        <f>AVERAGE(F128:Q128)</f>
        <v>133.90315117314978</v>
      </c>
      <c r="E128" s="172"/>
      <c r="F128" s="219">
        <f>'И. Д.'!G61</f>
        <v>118.5</v>
      </c>
      <c r="G128" s="219">
        <f>F128*(1+'цены и инфл'!E29)</f>
        <v>119.44800000000001</v>
      </c>
      <c r="H128" s="219">
        <f>G128*(1+'цены и инфл'!F29)</f>
        <v>123.15088799999999</v>
      </c>
      <c r="I128" s="219">
        <f>H128*(1+'цены и инфл'!G29)</f>
        <v>127.70747085599999</v>
      </c>
      <c r="J128" s="219">
        <f>I128*(1+'цены и инфл'!H29)</f>
        <v>130.26162027312</v>
      </c>
      <c r="K128" s="219">
        <f>J128*(1+'цены и инфл'!I29)</f>
        <v>132.8668526785824</v>
      </c>
      <c r="L128" s="219">
        <f>K128*(1+'цены и инфл'!J29)</f>
        <v>135.52418973215404</v>
      </c>
      <c r="M128" s="219">
        <f>L128*(1+'цены и инфл'!K29)</f>
        <v>138.23467352679714</v>
      </c>
      <c r="N128" s="219">
        <f>M128*(1+'цены и инфл'!L29)</f>
        <v>140.99936699733308</v>
      </c>
      <c r="O128" s="219">
        <f>N128*(1+'цены и инфл'!M29)</f>
        <v>143.81935433727975</v>
      </c>
      <c r="P128" s="219">
        <f>O128*(1+'цены и инфл'!N29)</f>
        <v>146.69574142402536</v>
      </c>
      <c r="Q128" s="219">
        <f>P128*(1+'цены и инфл'!O29)</f>
        <v>149.62965625250587</v>
      </c>
    </row>
    <row r="129" spans="2:17" x14ac:dyDescent="0.25">
      <c r="B129" s="673"/>
      <c r="C129" s="209" t="s">
        <v>271</v>
      </c>
      <c r="D129" s="165">
        <f>SUM(F129:Q129)</f>
        <v>94693.005661184448</v>
      </c>
      <c r="E129" s="167"/>
      <c r="F129" s="211">
        <f>F128*F96</f>
        <v>6561.9375</v>
      </c>
      <c r="G129" s="211">
        <f t="shared" ref="G129:Q129" si="57">G128*G96</f>
        <v>6879.0103199999994</v>
      </c>
      <c r="H129" s="211">
        <f t="shared" si="57"/>
        <v>7637.8180737599996</v>
      </c>
      <c r="I129" s="211">
        <f t="shared" si="57"/>
        <v>8486.1614383811993</v>
      </c>
      <c r="J129" s="211">
        <f t="shared" si="57"/>
        <v>8655.8846671488245</v>
      </c>
      <c r="K129" s="211">
        <f t="shared" si="57"/>
        <v>8829.0023604918006</v>
      </c>
      <c r="L129" s="211">
        <f t="shared" si="57"/>
        <v>9005.5824077016368</v>
      </c>
      <c r="M129" s="211">
        <f t="shared" si="57"/>
        <v>9185.6940558556707</v>
      </c>
      <c r="N129" s="211">
        <f t="shared" si="57"/>
        <v>9369.4079369727842</v>
      </c>
      <c r="O129" s="211">
        <f t="shared" si="57"/>
        <v>9556.7960957122395</v>
      </c>
      <c r="P129" s="211">
        <f t="shared" si="57"/>
        <v>6498.6213450843225</v>
      </c>
      <c r="Q129" s="211">
        <f t="shared" si="57"/>
        <v>4027.0894600759766</v>
      </c>
    </row>
    <row r="130" spans="2:17" x14ac:dyDescent="0.25">
      <c r="B130" s="672" t="s">
        <v>274</v>
      </c>
      <c r="C130" s="193" t="s">
        <v>275</v>
      </c>
      <c r="D130" s="172">
        <f>AVERAGE(F130:Q130)</f>
        <v>16.927166283323071</v>
      </c>
      <c r="E130" s="172"/>
      <c r="F130" s="219">
        <f>'И. Д.'!H62</f>
        <v>14.98</v>
      </c>
      <c r="G130" s="219">
        <f>F130*(1+'цены и инфл'!E29)</f>
        <v>15.09984</v>
      </c>
      <c r="H130" s="219">
        <f>G130*(1+'цены и инфл'!F29)</f>
        <v>15.567935039999998</v>
      </c>
      <c r="I130" s="219">
        <f>H130*(1+'цены и инфл'!G29)</f>
        <v>16.143948636479998</v>
      </c>
      <c r="J130" s="219">
        <f>I130*(1+'цены и инфл'!H29)</f>
        <v>16.466827609209599</v>
      </c>
      <c r="K130" s="219">
        <f>J130*(1+'цены и инфл'!I29)</f>
        <v>16.79616416139379</v>
      </c>
      <c r="L130" s="219">
        <f>K130*(1+'цены и инфл'!J29)</f>
        <v>17.132087444621668</v>
      </c>
      <c r="M130" s="219">
        <f>L130*(1+'цены и инфл'!K29)</f>
        <v>17.474729193514101</v>
      </c>
      <c r="N130" s="219">
        <f>M130*(1+'цены и инфл'!L29)</f>
        <v>17.824223777384383</v>
      </c>
      <c r="O130" s="219">
        <f>N130*(1+'цены и инфл'!M29)</f>
        <v>18.180708252932071</v>
      </c>
      <c r="P130" s="219">
        <f>O130*(1+'цены и инфл'!N29)</f>
        <v>18.544322417990713</v>
      </c>
      <c r="Q130" s="219">
        <f>P130*(1+'цены и инфл'!O29)</f>
        <v>18.915208866350529</v>
      </c>
    </row>
    <row r="131" spans="2:17" x14ac:dyDescent="0.25">
      <c r="B131" s="673"/>
      <c r="C131" s="209" t="s">
        <v>271</v>
      </c>
      <c r="D131" s="165">
        <f>SUM(F131:Q131)</f>
        <v>270213.87067549466</v>
      </c>
      <c r="E131" s="167"/>
      <c r="F131" s="211">
        <f>F130*F95</f>
        <v>18725</v>
      </c>
      <c r="G131" s="211">
        <f t="shared" ref="G131:Q131" si="58">G130*G95</f>
        <v>19629.792000000001</v>
      </c>
      <c r="H131" s="211">
        <f t="shared" si="58"/>
        <v>21795.109055999998</v>
      </c>
      <c r="I131" s="211">
        <f t="shared" si="58"/>
        <v>24215.922954719998</v>
      </c>
      <c r="J131" s="211">
        <f t="shared" si="58"/>
        <v>24700.241413814398</v>
      </c>
      <c r="K131" s="211">
        <f t="shared" si="58"/>
        <v>25194.246242090685</v>
      </c>
      <c r="L131" s="211">
        <f t="shared" si="58"/>
        <v>25698.1311669325</v>
      </c>
      <c r="M131" s="211">
        <f t="shared" si="58"/>
        <v>26212.093790271152</v>
      </c>
      <c r="N131" s="211">
        <f t="shared" si="58"/>
        <v>26736.335666076575</v>
      </c>
      <c r="O131" s="211">
        <f t="shared" si="58"/>
        <v>27271.062379398107</v>
      </c>
      <c r="P131" s="211">
        <f t="shared" si="58"/>
        <v>18544.322417990712</v>
      </c>
      <c r="Q131" s="211">
        <f t="shared" si="58"/>
        <v>11491.613588200536</v>
      </c>
    </row>
    <row r="132" spans="2:17" ht="15.6" x14ac:dyDescent="0.25">
      <c r="B132" s="672" t="s">
        <v>392</v>
      </c>
      <c r="C132" s="193" t="s">
        <v>545</v>
      </c>
      <c r="D132" s="172">
        <f>AVERAGE(F132:Q132)</f>
        <v>31.334467358915145</v>
      </c>
      <c r="E132" s="172"/>
      <c r="F132" s="219">
        <f>'И. Д.'!H63</f>
        <v>27.73</v>
      </c>
      <c r="G132" s="219">
        <f>F132*(1+'цены и инфл'!E29)</f>
        <v>27.951840000000001</v>
      </c>
      <c r="H132" s="219">
        <f>G132*(1+'цены и инфл'!F29)</f>
        <v>28.818347039999999</v>
      </c>
      <c r="I132" s="219">
        <f>H132*(1+'цены и инфл'!G29)</f>
        <v>29.884625880479998</v>
      </c>
      <c r="J132" s="219">
        <f>I132*(1+'цены и инфл'!H29)</f>
        <v>30.4823183980896</v>
      </c>
      <c r="K132" s="219">
        <f>J132*(1+'цены и инфл'!I29)</f>
        <v>31.091964766051394</v>
      </c>
      <c r="L132" s="219">
        <f>K132*(1+'цены и инфл'!J29)</f>
        <v>31.713804061372421</v>
      </c>
      <c r="M132" s="219">
        <f>L132*(1+'цены и инфл'!K29)</f>
        <v>32.348080142599869</v>
      </c>
      <c r="N132" s="219">
        <f>M132*(1+'цены и инфл'!L29)</f>
        <v>32.995041745451864</v>
      </c>
      <c r="O132" s="219">
        <f>N132*(1+'цены и инфл'!M29)</f>
        <v>33.654942580360903</v>
      </c>
      <c r="P132" s="219">
        <f>O132*(1+'цены и инфл'!N29)</f>
        <v>34.328041431968124</v>
      </c>
      <c r="Q132" s="219">
        <f>P132*(1+'цены и инфл'!O29)</f>
        <v>35.014602260607489</v>
      </c>
    </row>
    <row r="133" spans="2:17" x14ac:dyDescent="0.25">
      <c r="B133" s="673"/>
      <c r="C133" s="209" t="s">
        <v>271</v>
      </c>
      <c r="D133" s="165">
        <f>SUM(F133:Q133)</f>
        <v>131979.50184822449</v>
      </c>
      <c r="E133" s="167"/>
      <c r="F133" s="211">
        <f>F132*F97</f>
        <v>9145.778364116095</v>
      </c>
      <c r="G133" s="211">
        <f t="shared" ref="G133:Q133" si="59">G132*G97</f>
        <v>9587.7023746701852</v>
      </c>
      <c r="H133" s="211">
        <f t="shared" si="59"/>
        <v>10645.299698153034</v>
      </c>
      <c r="I133" s="211">
        <f t="shared" si="59"/>
        <v>11827.688343197888</v>
      </c>
      <c r="J133" s="211">
        <f t="shared" si="59"/>
        <v>12064.242110061847</v>
      </c>
      <c r="K133" s="211">
        <f t="shared" si="59"/>
        <v>12305.526952263084</v>
      </c>
      <c r="L133" s="211">
        <f t="shared" si="59"/>
        <v>12551.637491308345</v>
      </c>
      <c r="M133" s="211">
        <f t="shared" si="59"/>
        <v>12802.670241134512</v>
      </c>
      <c r="N133" s="211">
        <f t="shared" si="59"/>
        <v>13058.723645957201</v>
      </c>
      <c r="O133" s="211">
        <f t="shared" si="59"/>
        <v>13319.898118876346</v>
      </c>
      <c r="P133" s="211">
        <f t="shared" si="59"/>
        <v>9057.5307208359172</v>
      </c>
      <c r="Q133" s="211">
        <f t="shared" si="59"/>
        <v>5612.8037876500393</v>
      </c>
    </row>
    <row r="134" spans="2:17" x14ac:dyDescent="0.25">
      <c r="B134" s="674" t="s">
        <v>403</v>
      </c>
      <c r="C134" s="582" t="s">
        <v>39</v>
      </c>
      <c r="D134" s="554">
        <f>AVERAGE(F134:R134)</f>
        <v>68.239757800392553</v>
      </c>
      <c r="E134" s="167"/>
      <c r="F134" s="211">
        <f>'И. Д.'!H64</f>
        <v>60.39</v>
      </c>
      <c r="G134" s="211">
        <f>F134*(1+'цены и инфл'!E29)</f>
        <v>60.87312</v>
      </c>
      <c r="H134" s="211">
        <f>G134*(1+'цены и инфл'!F29)</f>
        <v>62.760186719999993</v>
      </c>
      <c r="I134" s="211">
        <f>H134*(1+'цены и инфл'!G29)</f>
        <v>65.082313628639994</v>
      </c>
      <c r="J134" s="211">
        <f>I134*(1+'цены и инфл'!H29)</f>
        <v>66.383959901212791</v>
      </c>
      <c r="K134" s="211">
        <f>J134*(1+'цены и инфл'!I29)</f>
        <v>67.711639099237047</v>
      </c>
      <c r="L134" s="211">
        <f>K134*(1+'цены и инфл'!J29)</f>
        <v>69.065871881221796</v>
      </c>
      <c r="M134" s="211">
        <f>L134*(1+'цены и инфл'!K29)</f>
        <v>70.447189318846227</v>
      </c>
      <c r="N134" s="211">
        <f>M134*(1+'цены и инфл'!L29)</f>
        <v>71.856133105223151</v>
      </c>
      <c r="O134" s="211">
        <f>N134*(1+'цены и инфл'!M29)</f>
        <v>73.293255767327622</v>
      </c>
      <c r="P134" s="211">
        <f>O134*(1+'цены и инфл'!N29)</f>
        <v>74.759120882674182</v>
      </c>
      <c r="Q134" s="211">
        <f>P134*(1+'цены и инфл'!O29)</f>
        <v>76.254303300327663</v>
      </c>
    </row>
    <row r="135" spans="2:17" x14ac:dyDescent="0.25">
      <c r="B135" s="675"/>
      <c r="C135" s="556" t="s">
        <v>271</v>
      </c>
      <c r="D135" s="557">
        <f>SUM(F135:R135)</f>
        <v>0</v>
      </c>
      <c r="E135" s="167"/>
      <c r="F135" s="211"/>
      <c r="G135" s="211"/>
      <c r="H135" s="211"/>
      <c r="I135" s="211"/>
      <c r="J135" s="211"/>
      <c r="K135" s="211"/>
      <c r="L135" s="211"/>
      <c r="M135" s="211"/>
      <c r="N135" s="211"/>
      <c r="O135" s="211"/>
      <c r="P135" s="211"/>
      <c r="Q135" s="211"/>
    </row>
    <row r="136" spans="2:17" x14ac:dyDescent="0.25">
      <c r="B136" s="672" t="s">
        <v>276</v>
      </c>
      <c r="C136" s="193" t="s">
        <v>275</v>
      </c>
      <c r="D136" s="172">
        <f>AVERAGE(F136:Q136)</f>
        <v>27.560319469309061</v>
      </c>
      <c r="E136" s="172"/>
      <c r="F136" s="219">
        <f>('И. Д.'!H65+'И. Д.'!H66)</f>
        <v>24.39</v>
      </c>
      <c r="G136" s="219">
        <f>F136*(1+'цены и инфл'!E29)</f>
        <v>24.58512</v>
      </c>
      <c r="H136" s="219">
        <f>G136*(1+'цены и инфл'!F29)</f>
        <v>25.347258719999999</v>
      </c>
      <c r="I136" s="219">
        <f>H136*(1+'цены и инфл'!G29)</f>
        <v>26.285107292639996</v>
      </c>
      <c r="J136" s="219">
        <f>I136*(1+'цены и инфл'!H29)</f>
        <v>26.810809438492797</v>
      </c>
      <c r="K136" s="219">
        <f>J136*(1+'цены и инфл'!I29)</f>
        <v>27.347025627262653</v>
      </c>
      <c r="L136" s="219">
        <f>K136*(1+'цены и инфл'!J29)</f>
        <v>27.893966139807905</v>
      </c>
      <c r="M136" s="219">
        <f>L136*(1+'цены и инфл'!K29)</f>
        <v>28.451845462604062</v>
      </c>
      <c r="N136" s="219">
        <f>M136*(1+'цены и инфл'!L29)</f>
        <v>29.020882371856143</v>
      </c>
      <c r="O136" s="219">
        <f>N136*(1+'цены и инфл'!M29)</f>
        <v>29.601300019293266</v>
      </c>
      <c r="P136" s="219">
        <f>O136*(1+'цены и инфл'!N29)</f>
        <v>30.19332601967913</v>
      </c>
      <c r="Q136" s="219">
        <f>P136*(1+'цены и инфл'!O29)</f>
        <v>30.797192540072714</v>
      </c>
    </row>
    <row r="137" spans="2:17" x14ac:dyDescent="0.25">
      <c r="B137" s="673"/>
      <c r="C137" s="209" t="s">
        <v>271</v>
      </c>
      <c r="D137" s="165">
        <f>SUM(F137:Q137)</f>
        <v>439954.35953106236</v>
      </c>
      <c r="E137" s="167"/>
      <c r="F137" s="211">
        <f>F136*F95</f>
        <v>30487.5</v>
      </c>
      <c r="G137" s="211">
        <f t="shared" ref="G137:Q137" si="60">G136*G95</f>
        <v>31960.655999999999</v>
      </c>
      <c r="H137" s="211">
        <f t="shared" si="60"/>
        <v>35486.162208000002</v>
      </c>
      <c r="I137" s="211">
        <f t="shared" si="60"/>
        <v>39427.660938959991</v>
      </c>
      <c r="J137" s="211">
        <f t="shared" si="60"/>
        <v>40216.214157739196</v>
      </c>
      <c r="K137" s="211">
        <f t="shared" si="60"/>
        <v>41020.538440893979</v>
      </c>
      <c r="L137" s="211">
        <f t="shared" si="60"/>
        <v>41840.949209711856</v>
      </c>
      <c r="M137" s="211">
        <f t="shared" si="60"/>
        <v>42677.768193906093</v>
      </c>
      <c r="N137" s="211">
        <f t="shared" si="60"/>
        <v>43531.323557784213</v>
      </c>
      <c r="O137" s="211">
        <f t="shared" si="60"/>
        <v>44401.9500289399</v>
      </c>
      <c r="P137" s="211">
        <f t="shared" si="60"/>
        <v>30193.326019679131</v>
      </c>
      <c r="Q137" s="211">
        <f t="shared" si="60"/>
        <v>18710.310775447997</v>
      </c>
    </row>
    <row r="138" spans="2:17" x14ac:dyDescent="0.25">
      <c r="B138" s="672" t="s">
        <v>277</v>
      </c>
      <c r="C138" s="193" t="s">
        <v>275</v>
      </c>
      <c r="D138" s="172">
        <f>AVERAGE(F138:Q138)</f>
        <v>10.836550377641403</v>
      </c>
      <c r="E138" s="172"/>
      <c r="F138" s="219">
        <f>'И. Д.'!H67</f>
        <v>9.59</v>
      </c>
      <c r="G138" s="219">
        <f>F138*(1+'цены и инфл'!E29)</f>
        <v>9.6667199999999998</v>
      </c>
      <c r="H138" s="219">
        <f>G138*(1+'цены и инфл'!F29)</f>
        <v>9.9663883199999983</v>
      </c>
      <c r="I138" s="219">
        <f>H138*(1+'цены и инфл'!G29)</f>
        <v>10.335144687839998</v>
      </c>
      <c r="J138" s="219">
        <f>I138*(1+'цены и инфл'!H29)</f>
        <v>10.541847581596798</v>
      </c>
      <c r="K138" s="219">
        <f>J138*(1+'цены и инфл'!I29)</f>
        <v>10.752684533228734</v>
      </c>
      <c r="L138" s="219">
        <f>K138*(1+'цены и инфл'!J29)</f>
        <v>10.96773822389331</v>
      </c>
      <c r="M138" s="219">
        <f>L138*(1+'цены и инфл'!K29)</f>
        <v>11.187092988371177</v>
      </c>
      <c r="N138" s="219">
        <f>M138*(1+'цены и инфл'!L29)</f>
        <v>11.410834848138601</v>
      </c>
      <c r="O138" s="219">
        <f>N138*(1+'цены и инфл'!M29)</f>
        <v>11.639051545101372</v>
      </c>
      <c r="P138" s="219">
        <f>O138*(1+'цены и инфл'!N29)</f>
        <v>11.871832576003399</v>
      </c>
      <c r="Q138" s="219">
        <f>P138*(1+'цены и инфл'!O29)</f>
        <v>12.109269227523468</v>
      </c>
    </row>
    <row r="139" spans="2:17" x14ac:dyDescent="0.25">
      <c r="B139" s="673"/>
      <c r="C139" s="209" t="s">
        <v>271</v>
      </c>
      <c r="D139" s="165">
        <f>SUM(F139:Q139)</f>
        <v>172987.38449786336</v>
      </c>
      <c r="E139" s="167"/>
      <c r="F139" s="211">
        <f>F138*F95</f>
        <v>11987.5</v>
      </c>
      <c r="G139" s="211">
        <f t="shared" ref="G139:Q139" si="61">G138*G95</f>
        <v>12566.735999999999</v>
      </c>
      <c r="H139" s="211">
        <f t="shared" si="61"/>
        <v>13952.943647999997</v>
      </c>
      <c r="I139" s="211">
        <f t="shared" si="61"/>
        <v>15502.717031759998</v>
      </c>
      <c r="J139" s="211">
        <f t="shared" si="61"/>
        <v>15812.771372395197</v>
      </c>
      <c r="K139" s="211">
        <f t="shared" si="61"/>
        <v>16129.026799843101</v>
      </c>
      <c r="L139" s="211">
        <f t="shared" si="61"/>
        <v>16451.607335839966</v>
      </c>
      <c r="M139" s="211">
        <f t="shared" si="61"/>
        <v>16780.639482556766</v>
      </c>
      <c r="N139" s="211">
        <f t="shared" si="61"/>
        <v>17116.252272207901</v>
      </c>
      <c r="O139" s="211">
        <f t="shared" si="61"/>
        <v>17458.57731765206</v>
      </c>
      <c r="P139" s="211">
        <f t="shared" si="61"/>
        <v>11871.832576003399</v>
      </c>
      <c r="Q139" s="211">
        <f t="shared" si="61"/>
        <v>7356.7806616050157</v>
      </c>
    </row>
    <row r="140" spans="2:17" x14ac:dyDescent="0.25">
      <c r="B140" s="660" t="s">
        <v>278</v>
      </c>
      <c r="C140" s="224" t="s">
        <v>271</v>
      </c>
      <c r="D140" s="165">
        <f>SUM(F140:Q140)</f>
        <v>809363.72743450676</v>
      </c>
      <c r="E140" s="177"/>
      <c r="F140" s="229">
        <f>F143+F151+F163</f>
        <v>56086.659213543317</v>
      </c>
      <c r="G140" s="229">
        <f>G143+G151+G163</f>
        <v>58336.634122433585</v>
      </c>
      <c r="H140" s="229">
        <f t="shared" ref="H140:Q140" si="62">H143+H151+H163</f>
        <v>64771.613609477397</v>
      </c>
      <c r="I140" s="229">
        <f t="shared" si="62"/>
        <v>71965.889263958641</v>
      </c>
      <c r="J140" s="229">
        <f t="shared" si="62"/>
        <v>73405.207049237812</v>
      </c>
      <c r="K140" s="229">
        <f t="shared" si="62"/>
        <v>74873.311190222565</v>
      </c>
      <c r="L140" s="229">
        <f t="shared" si="62"/>
        <v>76370.777414027019</v>
      </c>
      <c r="M140" s="229">
        <f t="shared" si="62"/>
        <v>77898.192962307556</v>
      </c>
      <c r="N140" s="229">
        <f t="shared" si="62"/>
        <v>79456.156821553697</v>
      </c>
      <c r="O140" s="229">
        <f t="shared" si="62"/>
        <v>81045.279957984778</v>
      </c>
      <c r="P140" s="229">
        <f t="shared" si="62"/>
        <v>59341.596714039973</v>
      </c>
      <c r="Q140" s="229">
        <f t="shared" si="62"/>
        <v>35812.40911572038</v>
      </c>
    </row>
    <row r="141" spans="2:17" x14ac:dyDescent="0.25">
      <c r="B141" s="661"/>
      <c r="C141" s="564" t="s">
        <v>3</v>
      </c>
      <c r="D141" s="230">
        <f>D140/D36</f>
        <v>50.403989668556605</v>
      </c>
      <c r="E141" s="230"/>
      <c r="F141" s="230">
        <f t="shared" ref="F141:Q141" si="63">F140/F36</f>
        <v>44.869327370834654</v>
      </c>
      <c r="G141" s="230">
        <f t="shared" si="63"/>
        <v>44.874333940333528</v>
      </c>
      <c r="H141" s="230">
        <f t="shared" si="63"/>
        <v>46.265438292483857</v>
      </c>
      <c r="I141" s="230">
        <f t="shared" si="63"/>
        <v>47.97725950930576</v>
      </c>
      <c r="J141" s="230">
        <f t="shared" si="63"/>
        <v>48.936804699491873</v>
      </c>
      <c r="K141" s="230">
        <f t="shared" si="63"/>
        <v>49.915540793481711</v>
      </c>
      <c r="L141" s="230">
        <f t="shared" si="63"/>
        <v>50.913851609351347</v>
      </c>
      <c r="M141" s="230">
        <f t="shared" si="63"/>
        <v>51.93212864153837</v>
      </c>
      <c r="N141" s="230">
        <f t="shared" si="63"/>
        <v>52.97077121436913</v>
      </c>
      <c r="O141" s="230">
        <f t="shared" si="63"/>
        <v>54.030186638656517</v>
      </c>
      <c r="P141" s="230">
        <f t="shared" si="63"/>
        <v>59.341596714039973</v>
      </c>
      <c r="Q141" s="230">
        <f t="shared" si="63"/>
        <v>58.947265606510889</v>
      </c>
    </row>
    <row r="142" spans="2:17" x14ac:dyDescent="0.25">
      <c r="B142" s="168" t="s">
        <v>272</v>
      </c>
      <c r="C142" s="564"/>
      <c r="D142" s="180"/>
      <c r="E142" s="180"/>
      <c r="F142" s="219"/>
      <c r="G142" s="219"/>
      <c r="H142" s="219"/>
      <c r="I142" s="219"/>
      <c r="J142" s="219"/>
      <c r="K142" s="219"/>
      <c r="L142" s="219"/>
      <c r="M142" s="219"/>
      <c r="N142" s="219"/>
      <c r="O142" s="219"/>
      <c r="P142" s="219"/>
      <c r="Q142" s="219"/>
    </row>
    <row r="143" spans="2:17" x14ac:dyDescent="0.25">
      <c r="B143" s="662" t="s">
        <v>279</v>
      </c>
      <c r="C143" s="563" t="s">
        <v>271</v>
      </c>
      <c r="D143" s="165">
        <f>SUM(F143:Q143)</f>
        <v>536278.93025250034</v>
      </c>
      <c r="E143" s="177"/>
      <c r="F143" s="229">
        <f>F146+F148+F150</f>
        <v>37162.5</v>
      </c>
      <c r="G143" s="229">
        <f t="shared" ref="G143:Q143" si="64">G146+G148+G150</f>
        <v>38958.192000000003</v>
      </c>
      <c r="H143" s="229">
        <f t="shared" si="64"/>
        <v>43255.580255999994</v>
      </c>
      <c r="I143" s="229">
        <f t="shared" si="64"/>
        <v>48060.039348719991</v>
      </c>
      <c r="J143" s="229">
        <f t="shared" si="64"/>
        <v>49021.240135694396</v>
      </c>
      <c r="K143" s="229">
        <f t="shared" si="64"/>
        <v>50001.664938408278</v>
      </c>
      <c r="L143" s="229">
        <f t="shared" si="64"/>
        <v>51001.698237176446</v>
      </c>
      <c r="M143" s="229">
        <f t="shared" si="64"/>
        <v>52021.732201919971</v>
      </c>
      <c r="N143" s="229">
        <f t="shared" si="64"/>
        <v>53062.166845958374</v>
      </c>
      <c r="O143" s="229">
        <f t="shared" si="64"/>
        <v>54123.410182877546</v>
      </c>
      <c r="P143" s="229">
        <f t="shared" si="64"/>
        <v>36803.918924356731</v>
      </c>
      <c r="Q143" s="229">
        <f t="shared" si="64"/>
        <v>22806.787181388638</v>
      </c>
    </row>
    <row r="144" spans="2:17" x14ac:dyDescent="0.25">
      <c r="B144" s="663"/>
      <c r="C144" s="564" t="s">
        <v>3</v>
      </c>
      <c r="D144" s="230">
        <f>D143/D36</f>
        <v>33.397342558941048</v>
      </c>
      <c r="E144" s="230"/>
      <c r="F144" s="230">
        <f t="shared" ref="F144:Q144" si="65">F143/F36</f>
        <v>29.73</v>
      </c>
      <c r="G144" s="230">
        <f t="shared" si="65"/>
        <v>29.967840000000002</v>
      </c>
      <c r="H144" s="230">
        <f t="shared" si="65"/>
        <v>30.896843039999997</v>
      </c>
      <c r="I144" s="230">
        <f t="shared" si="65"/>
        <v>32.040026232479995</v>
      </c>
      <c r="J144" s="230">
        <f t="shared" si="65"/>
        <v>32.680826757129594</v>
      </c>
      <c r="K144" s="230">
        <f t="shared" si="65"/>
        <v>33.334443292272184</v>
      </c>
      <c r="L144" s="230">
        <f t="shared" si="65"/>
        <v>34.001132158117628</v>
      </c>
      <c r="M144" s="230">
        <f t="shared" si="65"/>
        <v>34.68115480127998</v>
      </c>
      <c r="N144" s="230">
        <f t="shared" si="65"/>
        <v>35.374777897305584</v>
      </c>
      <c r="O144" s="230">
        <f t="shared" si="65"/>
        <v>36.082273455251695</v>
      </c>
      <c r="P144" s="230">
        <f t="shared" si="65"/>
        <v>36.803918924356729</v>
      </c>
      <c r="Q144" s="230">
        <f t="shared" si="65"/>
        <v>37.539997302843858</v>
      </c>
    </row>
    <row r="145" spans="2:17" x14ac:dyDescent="0.25">
      <c r="B145" s="656" t="s">
        <v>280</v>
      </c>
      <c r="C145" s="193" t="s">
        <v>275</v>
      </c>
      <c r="D145" s="172">
        <f>AVERAGE(F145:Q145)</f>
        <v>24.238165338937236</v>
      </c>
      <c r="E145" s="172"/>
      <c r="F145" s="219">
        <f>'И. Д.'!H70</f>
        <v>21.45</v>
      </c>
      <c r="G145" s="219">
        <f>F145*(1+'цены и инфл'!E29)</f>
        <v>21.621600000000001</v>
      </c>
      <c r="H145" s="219">
        <f>G145*(1+'цены и инфл'!F29)</f>
        <v>22.291869599999998</v>
      </c>
      <c r="I145" s="219">
        <f>H145*(1+'цены и инфл'!G29)</f>
        <v>23.116668775199997</v>
      </c>
      <c r="J145" s="219">
        <f>I145*(1+'цены и инфл'!H29)</f>
        <v>23.579002150703996</v>
      </c>
      <c r="K145" s="219">
        <f>J145*(1+'цены и инфл'!I29)</f>
        <v>24.050582193718075</v>
      </c>
      <c r="L145" s="219">
        <f>K145*(1+'цены и инфл'!J29)</f>
        <v>24.531593837592435</v>
      </c>
      <c r="M145" s="219">
        <f>L145*(1+'цены и инфл'!K29)</f>
        <v>25.022225714344284</v>
      </c>
      <c r="N145" s="219">
        <f>M145*(1+'цены и инфл'!L29)</f>
        <v>25.522670228631171</v>
      </c>
      <c r="O145" s="219">
        <f>N145*(1+'цены и инфл'!M29)</f>
        <v>26.033123633203793</v>
      </c>
      <c r="P145" s="219">
        <f>O145*(1+'цены и инфл'!N29)</f>
        <v>26.553786105867868</v>
      </c>
      <c r="Q145" s="219">
        <f>P145*(1+'цены и инфл'!O29)</f>
        <v>27.084861827985225</v>
      </c>
    </row>
    <row r="146" spans="2:17" x14ac:dyDescent="0.25">
      <c r="B146" s="658"/>
      <c r="C146" s="209" t="s">
        <v>271</v>
      </c>
      <c r="D146" s="165">
        <f>SUM(F146:Q146)</f>
        <v>386921.73070689983</v>
      </c>
      <c r="E146" s="167"/>
      <c r="F146" s="211">
        <f>F145*F36</f>
        <v>26812.5</v>
      </c>
      <c r="G146" s="211">
        <f t="shared" ref="G146:Q146" si="66">G145*G36</f>
        <v>28108.080000000002</v>
      </c>
      <c r="H146" s="211">
        <f t="shared" si="66"/>
        <v>31208.617439999998</v>
      </c>
      <c r="I146" s="211">
        <f t="shared" si="66"/>
        <v>34675.003162799992</v>
      </c>
      <c r="J146" s="211">
        <f t="shared" si="66"/>
        <v>35368.503226055996</v>
      </c>
      <c r="K146" s="211">
        <f t="shared" si="66"/>
        <v>36075.87329057711</v>
      </c>
      <c r="L146" s="211">
        <f t="shared" si="66"/>
        <v>36797.390756388653</v>
      </c>
      <c r="M146" s="211">
        <f t="shared" si="66"/>
        <v>37533.338571516426</v>
      </c>
      <c r="N146" s="211">
        <f t="shared" si="66"/>
        <v>38284.005342946759</v>
      </c>
      <c r="O146" s="211">
        <f t="shared" si="66"/>
        <v>39049.685449805693</v>
      </c>
      <c r="P146" s="211">
        <f t="shared" si="66"/>
        <v>26553.786105867868</v>
      </c>
      <c r="Q146" s="211">
        <f t="shared" si="66"/>
        <v>16454.947360941347</v>
      </c>
    </row>
    <row r="147" spans="2:17" x14ac:dyDescent="0.25">
      <c r="B147" s="656" t="s">
        <v>396</v>
      </c>
      <c r="C147" s="193" t="s">
        <v>275</v>
      </c>
      <c r="D147" s="172">
        <f>AVERAGE(F147:Q147)</f>
        <v>7.1076018639587533</v>
      </c>
      <c r="E147" s="167"/>
      <c r="F147" s="211">
        <f>'И. Д.'!H71</f>
        <v>6.29</v>
      </c>
      <c r="G147" s="219">
        <f>F147*(1+'цены и инфл'!E29)</f>
        <v>6.3403200000000002</v>
      </c>
      <c r="H147" s="219">
        <f>G147*(1+'цены и инфл'!F29)</f>
        <v>6.53686992</v>
      </c>
      <c r="I147" s="219">
        <f>H147*(1+'цены и инфл'!G29)</f>
        <v>6.7787341070399991</v>
      </c>
      <c r="J147" s="219">
        <f>I147*(1+'цены и инфл'!H29)</f>
        <v>6.9143087891807991</v>
      </c>
      <c r="K147" s="219">
        <f>J147*(1+'цены и инфл'!I29)</f>
        <v>7.0525949649644151</v>
      </c>
      <c r="L147" s="219">
        <f>K147*(1+'цены и инфл'!J29)</f>
        <v>7.1936468642637035</v>
      </c>
      <c r="M147" s="219">
        <f>L147*(1+'цены и инфл'!K29)</f>
        <v>7.3375198015489778</v>
      </c>
      <c r="N147" s="219">
        <f>M147*(1+'цены и инфл'!L29)</f>
        <v>7.4842701975799573</v>
      </c>
      <c r="O147" s="219">
        <f>N147*(1+'цены и инфл'!M29)</f>
        <v>7.6339556015315564</v>
      </c>
      <c r="P147" s="219">
        <f>O147*(1+'цены и инфл'!N29)</f>
        <v>7.7866347135621874</v>
      </c>
      <c r="Q147" s="219">
        <f>P147*(1+'цены и инфл'!O29)</f>
        <v>7.942367407833431</v>
      </c>
    </row>
    <row r="148" spans="2:17" x14ac:dyDescent="0.25">
      <c r="B148" s="658"/>
      <c r="C148" s="209" t="s">
        <v>271</v>
      </c>
      <c r="D148" s="165">
        <f>SUM(F148:Q148)</f>
        <v>113460.96438910956</v>
      </c>
      <c r="E148" s="167"/>
      <c r="F148" s="211">
        <f>F147*F36</f>
        <v>7862.5</v>
      </c>
      <c r="G148" s="211">
        <f t="shared" ref="G148:Q148" si="67">G147*G36</f>
        <v>8242.4160000000011</v>
      </c>
      <c r="H148" s="211">
        <f t="shared" si="67"/>
        <v>9151.6178880000007</v>
      </c>
      <c r="I148" s="211">
        <f t="shared" si="67"/>
        <v>10168.101160559998</v>
      </c>
      <c r="J148" s="211">
        <f t="shared" si="67"/>
        <v>10371.463183771199</v>
      </c>
      <c r="K148" s="211">
        <f t="shared" si="67"/>
        <v>10578.892447446622</v>
      </c>
      <c r="L148" s="211">
        <f t="shared" si="67"/>
        <v>10790.470296395555</v>
      </c>
      <c r="M148" s="211">
        <f t="shared" si="67"/>
        <v>11006.279702323467</v>
      </c>
      <c r="N148" s="211">
        <f t="shared" si="67"/>
        <v>11226.405296369936</v>
      </c>
      <c r="O148" s="211">
        <f t="shared" si="67"/>
        <v>11450.933402297334</v>
      </c>
      <c r="P148" s="211">
        <f t="shared" si="67"/>
        <v>7786.6347135621872</v>
      </c>
      <c r="Q148" s="211">
        <f t="shared" si="67"/>
        <v>4825.2502983832683</v>
      </c>
    </row>
    <row r="149" spans="2:17" x14ac:dyDescent="0.25">
      <c r="B149" s="656" t="s">
        <v>281</v>
      </c>
      <c r="C149" s="193" t="s">
        <v>275</v>
      </c>
      <c r="D149" s="172">
        <f>AVERAGE(F149:Q149)</f>
        <v>2.2486689521904482</v>
      </c>
      <c r="E149" s="172"/>
      <c r="F149" s="219">
        <f>'И. Д.'!H72</f>
        <v>1.99</v>
      </c>
      <c r="G149" s="219">
        <f>F149*(1+'цены и инфл'!E29)</f>
        <v>2.0059200000000001</v>
      </c>
      <c r="H149" s="219">
        <f>G149*(1+'цены и инфл'!F29)</f>
        <v>2.0681035200000002</v>
      </c>
      <c r="I149" s="219">
        <f>H149*(1+'цены и инфл'!G29)</f>
        <v>2.1446233502399998</v>
      </c>
      <c r="J149" s="219">
        <f>I149*(1+'цены и инфл'!H29)</f>
        <v>2.1875158172447997</v>
      </c>
      <c r="K149" s="219">
        <f>J149*(1+'цены и инфл'!I29)</f>
        <v>2.2312661335896959</v>
      </c>
      <c r="L149" s="219">
        <f>K149*(1+'цены и инфл'!J29)</f>
        <v>2.27589145626149</v>
      </c>
      <c r="M149" s="219">
        <f>L149*(1+'цены и инфл'!K29)</f>
        <v>2.3214092853867201</v>
      </c>
      <c r="N149" s="219">
        <f>M149*(1+'цены и инфл'!L29)</f>
        <v>2.3678374710944547</v>
      </c>
      <c r="O149" s="219">
        <f>N149*(1+'цены и инфл'!M29)</f>
        <v>2.4151942205163439</v>
      </c>
      <c r="P149" s="219">
        <f>O149*(1+'цены и инфл'!N29)</f>
        <v>2.4634981049266709</v>
      </c>
      <c r="Q149" s="219">
        <f>P149*(1+'цены и инфл'!O29)</f>
        <v>2.5127680670252044</v>
      </c>
    </row>
    <row r="150" spans="2:17" x14ac:dyDescent="0.25">
      <c r="B150" s="658"/>
      <c r="C150" s="209" t="s">
        <v>271</v>
      </c>
      <c r="D150" s="165">
        <f>SUM(F150:Q150)</f>
        <v>35896.235156490955</v>
      </c>
      <c r="E150" s="167"/>
      <c r="F150" s="211">
        <f>F149*F36</f>
        <v>2487.5</v>
      </c>
      <c r="G150" s="211">
        <f t="shared" ref="G150:Q150" si="68">G149*G36</f>
        <v>2607.6960000000004</v>
      </c>
      <c r="H150" s="211">
        <f t="shared" si="68"/>
        <v>2895.3449280000004</v>
      </c>
      <c r="I150" s="211">
        <f t="shared" si="68"/>
        <v>3216.9350253599996</v>
      </c>
      <c r="J150" s="211">
        <f t="shared" si="68"/>
        <v>3281.2737258671996</v>
      </c>
      <c r="K150" s="211">
        <f t="shared" si="68"/>
        <v>3346.8992003845437</v>
      </c>
      <c r="L150" s="211">
        <f t="shared" si="68"/>
        <v>3413.837184392235</v>
      </c>
      <c r="M150" s="211">
        <f t="shared" si="68"/>
        <v>3482.1139280800803</v>
      </c>
      <c r="N150" s="211">
        <f t="shared" si="68"/>
        <v>3551.7562066416822</v>
      </c>
      <c r="O150" s="211">
        <f t="shared" si="68"/>
        <v>3622.7913307745157</v>
      </c>
      <c r="P150" s="211">
        <f t="shared" si="68"/>
        <v>2463.4981049266707</v>
      </c>
      <c r="Q150" s="211">
        <f t="shared" si="68"/>
        <v>1526.5895220640236</v>
      </c>
    </row>
    <row r="151" spans="2:17" x14ac:dyDescent="0.25">
      <c r="B151" s="670" t="s">
        <v>282</v>
      </c>
      <c r="C151" s="563" t="s">
        <v>271</v>
      </c>
      <c r="D151" s="165">
        <f>SUM(F151:Q151)</f>
        <v>217697.21476887952</v>
      </c>
      <c r="E151" s="177"/>
      <c r="F151" s="227">
        <f>F154+F156+F158+F160+F162</f>
        <v>15050.299435662069</v>
      </c>
      <c r="G151" s="227">
        <f>G154+G156+G158+G160+G162</f>
        <v>15553.942889622938</v>
      </c>
      <c r="H151" s="227">
        <f t="shared" ref="H151:Q151" si="69">H154+H156+H158+H160+H162</f>
        <v>17269.662436062878</v>
      </c>
      <c r="I151" s="227">
        <f t="shared" si="69"/>
        <v>19187.828513782715</v>
      </c>
      <c r="J151" s="227">
        <f t="shared" si="69"/>
        <v>19571.58508405837</v>
      </c>
      <c r="K151" s="227">
        <f t="shared" si="69"/>
        <v>19963.016785739539</v>
      </c>
      <c r="L151" s="227">
        <f t="shared" si="69"/>
        <v>20362.277121454332</v>
      </c>
      <c r="M151" s="227">
        <f t="shared" si="69"/>
        <v>20769.522663883417</v>
      </c>
      <c r="N151" s="227">
        <f t="shared" si="69"/>
        <v>21184.913117161082</v>
      </c>
      <c r="O151" s="227">
        <f t="shared" si="69"/>
        <v>21608.611379504309</v>
      </c>
      <c r="P151" s="227">
        <f t="shared" si="69"/>
        <v>17118.154226168252</v>
      </c>
      <c r="Q151" s="227">
        <f t="shared" si="69"/>
        <v>10057.401115779579</v>
      </c>
    </row>
    <row r="152" spans="2:17" ht="15.75" customHeight="1" x14ac:dyDescent="0.25">
      <c r="B152" s="671"/>
      <c r="C152" s="564" t="s">
        <v>3</v>
      </c>
      <c r="D152" s="228">
        <f>D151/D36</f>
        <v>13.557326319608343</v>
      </c>
      <c r="E152" s="228"/>
      <c r="F152" s="228">
        <f t="shared" ref="F152:Q152" si="70">F151/F36</f>
        <v>12.040239548529655</v>
      </c>
      <c r="G152" s="228">
        <f t="shared" si="70"/>
        <v>11.964571453556106</v>
      </c>
      <c r="H152" s="228">
        <f t="shared" si="70"/>
        <v>12.335473168616341</v>
      </c>
      <c r="I152" s="228">
        <f t="shared" si="70"/>
        <v>12.791885675855143</v>
      </c>
      <c r="J152" s="228">
        <f t="shared" si="70"/>
        <v>13.047723389372246</v>
      </c>
      <c r="K152" s="228">
        <f t="shared" si="70"/>
        <v>13.308677857159692</v>
      </c>
      <c r="L152" s="228">
        <f t="shared" si="70"/>
        <v>13.574851414302888</v>
      </c>
      <c r="M152" s="228">
        <f t="shared" si="70"/>
        <v>13.846348442588946</v>
      </c>
      <c r="N152" s="228">
        <f t="shared" si="70"/>
        <v>14.123275411440721</v>
      </c>
      <c r="O152" s="228">
        <f t="shared" si="70"/>
        <v>14.40574091966954</v>
      </c>
      <c r="P152" s="228">
        <f t="shared" si="70"/>
        <v>17.118154226168251</v>
      </c>
      <c r="Q152" s="228">
        <f t="shared" si="70"/>
        <v>16.554493526737772</v>
      </c>
    </row>
    <row r="153" spans="2:17" ht="15.75" customHeight="1" x14ac:dyDescent="0.25">
      <c r="B153" s="656" t="s">
        <v>283</v>
      </c>
      <c r="C153" s="193" t="s">
        <v>284</v>
      </c>
      <c r="D153" s="172">
        <f>AVERAGE(F153:Q153)</f>
        <v>17.040164723131635</v>
      </c>
      <c r="E153" s="172"/>
      <c r="F153" s="219">
        <f>'И. Д.'!H74</f>
        <v>15.08</v>
      </c>
      <c r="G153" s="219">
        <f>F153*(1+'цены и инфл'!E29)</f>
        <v>15.20064</v>
      </c>
      <c r="H153" s="219">
        <f>G153*(1+'цены и инфл'!F29)</f>
        <v>15.671859839999998</v>
      </c>
      <c r="I153" s="219">
        <f>H153*(1+'цены и инфл'!G29)</f>
        <v>16.251718654079998</v>
      </c>
      <c r="J153" s="219">
        <f>I153*(1+'цены и инфл'!H29)</f>
        <v>16.576753027161597</v>
      </c>
      <c r="K153" s="219">
        <f>J153*(1+'цены и инфл'!I29)</f>
        <v>16.908288087704829</v>
      </c>
      <c r="L153" s="219">
        <f>K153*(1+'цены и инфл'!J29)</f>
        <v>17.246453849458927</v>
      </c>
      <c r="M153" s="219">
        <f>L153*(1+'цены и инфл'!K29)</f>
        <v>17.591382926448105</v>
      </c>
      <c r="N153" s="219">
        <f>M153*(1+'цены и инфл'!L29)</f>
        <v>17.943210584977066</v>
      </c>
      <c r="O153" s="219">
        <f>N153*(1+'цены и инфл'!M29)</f>
        <v>18.302074796676607</v>
      </c>
      <c r="P153" s="219">
        <f>O153*(1+'цены и инфл'!N29)</f>
        <v>18.66811629261014</v>
      </c>
      <c r="Q153" s="219">
        <f>P153*(1+'цены и инфл'!O29)</f>
        <v>19.041478618462342</v>
      </c>
    </row>
    <row r="154" spans="2:17" ht="15.75" customHeight="1" x14ac:dyDescent="0.25">
      <c r="B154" s="658"/>
      <c r="C154" s="209" t="s">
        <v>271</v>
      </c>
      <c r="D154" s="165">
        <f>SUM(F154:Q154)</f>
        <v>19449.265663533501</v>
      </c>
      <c r="E154" s="167"/>
      <c r="F154" s="211">
        <f t="shared" ref="F154:Q154" si="71">F153*F43/1000</f>
        <v>1347.7750000000003</v>
      </c>
      <c r="G154" s="211">
        <f t="shared" si="71"/>
        <v>1412.899488</v>
      </c>
      <c r="H154" s="211">
        <f t="shared" si="71"/>
        <v>1568.7531699840001</v>
      </c>
      <c r="I154" s="211">
        <f t="shared" si="71"/>
        <v>1742.9968256500799</v>
      </c>
      <c r="J154" s="211">
        <f t="shared" si="71"/>
        <v>1777.8567621630816</v>
      </c>
      <c r="K154" s="211">
        <f t="shared" si="71"/>
        <v>1813.413897406343</v>
      </c>
      <c r="L154" s="211">
        <f t="shared" si="71"/>
        <v>1849.6821753544702</v>
      </c>
      <c r="M154" s="211">
        <f t="shared" si="71"/>
        <v>1886.6758188615595</v>
      </c>
      <c r="N154" s="211">
        <f t="shared" si="71"/>
        <v>1924.4093352387906</v>
      </c>
      <c r="O154" s="211">
        <f t="shared" si="71"/>
        <v>1962.8975219435663</v>
      </c>
      <c r="P154" s="211">
        <f t="shared" si="71"/>
        <v>1334.7703149216252</v>
      </c>
      <c r="Q154" s="211">
        <f t="shared" si="71"/>
        <v>827.13535400998535</v>
      </c>
    </row>
    <row r="155" spans="2:17" x14ac:dyDescent="0.25">
      <c r="B155" s="656" t="s">
        <v>285</v>
      </c>
      <c r="C155" s="193" t="s">
        <v>284</v>
      </c>
      <c r="D155" s="172">
        <f>AVERAGE(F155:Q155)</f>
        <v>108.64799987593547</v>
      </c>
      <c r="E155" s="172"/>
      <c r="F155" s="219">
        <f>'И. Д.'!H75</f>
        <v>96.15</v>
      </c>
      <c r="G155" s="219">
        <f>F155*(1+'цены и инфл'!E29)</f>
        <v>96.919200000000004</v>
      </c>
      <c r="H155" s="219">
        <f>G155*(1+'цены и инфл'!F29)</f>
        <v>99.923695199999997</v>
      </c>
      <c r="I155" s="219">
        <f>H155*(1+'цены и инфл'!G29)</f>
        <v>103.62087192239999</v>
      </c>
      <c r="J155" s="219">
        <f>I155*(1+'цены и инфл'!H29)</f>
        <v>105.69328936084798</v>
      </c>
      <c r="K155" s="219">
        <f>J155*(1+'цены и инфл'!I29)</f>
        <v>107.80715514806495</v>
      </c>
      <c r="L155" s="219">
        <f>K155*(1+'цены и инфл'!J29)</f>
        <v>109.96329825102625</v>
      </c>
      <c r="M155" s="219">
        <f>L155*(1+'цены и инфл'!K29)</f>
        <v>112.16256421604677</v>
      </c>
      <c r="N155" s="219">
        <f>M155*(1+'цены и инфл'!L29)</f>
        <v>114.40581550036771</v>
      </c>
      <c r="O155" s="219">
        <f>N155*(1+'цены и инфл'!M29)</f>
        <v>116.69393181037506</v>
      </c>
      <c r="P155" s="219">
        <f>O155*(1+'цены и инфл'!N29)</f>
        <v>119.02781044658256</v>
      </c>
      <c r="Q155" s="219">
        <f>P155*(1+'цены и инфл'!O29)</f>
        <v>121.40836665551421</v>
      </c>
    </row>
    <row r="156" spans="2:17" x14ac:dyDescent="0.25">
      <c r="B156" s="658"/>
      <c r="C156" s="209" t="s">
        <v>271</v>
      </c>
      <c r="D156" s="165">
        <f>SUM(F156:Q156)</f>
        <v>124008.41469156143</v>
      </c>
      <c r="E156" s="167"/>
      <c r="F156" s="211">
        <f t="shared" ref="F156:Q156" si="72">F155*F43/1000</f>
        <v>8593.4062500000018</v>
      </c>
      <c r="G156" s="211">
        <f t="shared" si="72"/>
        <v>9008.6396400000031</v>
      </c>
      <c r="H156" s="211">
        <f t="shared" si="72"/>
        <v>10002.361889520002</v>
      </c>
      <c r="I156" s="211">
        <f t="shared" si="72"/>
        <v>11113.3385136774</v>
      </c>
      <c r="J156" s="211">
        <f t="shared" si="72"/>
        <v>11335.605283950947</v>
      </c>
      <c r="K156" s="211">
        <f t="shared" si="72"/>
        <v>11562.317389629967</v>
      </c>
      <c r="L156" s="211">
        <f t="shared" si="72"/>
        <v>11793.563737422566</v>
      </c>
      <c r="M156" s="211">
        <f t="shared" si="72"/>
        <v>12029.435012171019</v>
      </c>
      <c r="N156" s="211">
        <f t="shared" si="72"/>
        <v>12270.023712414439</v>
      </c>
      <c r="O156" s="211">
        <f t="shared" si="72"/>
        <v>12515.424186662727</v>
      </c>
      <c r="P156" s="211">
        <f t="shared" si="72"/>
        <v>8510.4884469306544</v>
      </c>
      <c r="Q156" s="211">
        <f t="shared" si="72"/>
        <v>5273.8106291817039</v>
      </c>
    </row>
    <row r="157" spans="2:17" x14ac:dyDescent="0.25">
      <c r="B157" s="656" t="s">
        <v>286</v>
      </c>
      <c r="C157" s="193" t="s">
        <v>287</v>
      </c>
      <c r="D157" s="172">
        <f>AVERAGE(F157:Q157)</f>
        <v>0.23729672359798695</v>
      </c>
      <c r="E157" s="172"/>
      <c r="F157" s="219">
        <f>'И. Д.'!H76</f>
        <v>0.21</v>
      </c>
      <c r="G157" s="219">
        <f>F157*(1+'цены и инфл'!E29)</f>
        <v>0.21168000000000001</v>
      </c>
      <c r="H157" s="219">
        <f>G157*(1+'цены и инфл'!F29)</f>
        <v>0.21824207999999998</v>
      </c>
      <c r="I157" s="219">
        <f>H157*(1+'цены и инфл'!G29)</f>
        <v>0.22631703695999997</v>
      </c>
      <c r="J157" s="219">
        <f>I157*(1+'цены и инфл'!H29)</f>
        <v>0.23084337769919996</v>
      </c>
      <c r="K157" s="219">
        <f>J157*(1+'цены и инфл'!I29)</f>
        <v>0.23546024525318396</v>
      </c>
      <c r="L157" s="219">
        <f>K157*(1+'цены и инфл'!J29)</f>
        <v>0.24016945015824764</v>
      </c>
      <c r="M157" s="219">
        <f>L157*(1+'цены и инфл'!K29)</f>
        <v>0.2449728391614126</v>
      </c>
      <c r="N157" s="219">
        <f>M157*(1+'цены и инфл'!L29)</f>
        <v>0.24987229594464086</v>
      </c>
      <c r="O157" s="219">
        <f>N157*(1+'цены и инфл'!M29)</f>
        <v>0.25486974186353367</v>
      </c>
      <c r="P157" s="219">
        <f>O157*(1+'цены и инфл'!N29)</f>
        <v>0.25996713670080435</v>
      </c>
      <c r="Q157" s="219">
        <f>P157*(1+'цены и инфл'!O29)</f>
        <v>0.26516647943482041</v>
      </c>
    </row>
    <row r="158" spans="2:17" x14ac:dyDescent="0.25">
      <c r="B158" s="658"/>
      <c r="C158" s="209" t="s">
        <v>271</v>
      </c>
      <c r="D158" s="165">
        <f>SUM(F158:Q158)</f>
        <v>61320.581257940357</v>
      </c>
      <c r="E158" s="167"/>
      <c r="F158" s="211">
        <f t="shared" ref="F158:Q158" si="73">F157*F87</f>
        <v>4200.7855990919506</v>
      </c>
      <c r="G158" s="211">
        <f t="shared" si="73"/>
        <v>4240.7072038334945</v>
      </c>
      <c r="H158" s="211">
        <f t="shared" si="73"/>
        <v>4708.4898292409716</v>
      </c>
      <c r="I158" s="211">
        <f t="shared" si="73"/>
        <v>5231.4685209888085</v>
      </c>
      <c r="J158" s="211">
        <f t="shared" si="73"/>
        <v>5336.0978914085845</v>
      </c>
      <c r="K158" s="211">
        <f t="shared" si="73"/>
        <v>5442.8198492367565</v>
      </c>
      <c r="L158" s="211">
        <f t="shared" si="73"/>
        <v>5551.6762462214911</v>
      </c>
      <c r="M158" s="211">
        <f t="shared" si="73"/>
        <v>5662.7097711459219</v>
      </c>
      <c r="N158" s="211">
        <f t="shared" si="73"/>
        <v>5775.9639665688401</v>
      </c>
      <c r="O158" s="211">
        <f t="shared" si="73"/>
        <v>5891.4832459002164</v>
      </c>
      <c r="P158" s="211">
        <f t="shared" si="73"/>
        <v>6009.3129108182211</v>
      </c>
      <c r="Q158" s="211">
        <f t="shared" si="73"/>
        <v>3269.0662234851125</v>
      </c>
    </row>
    <row r="159" spans="2:17" x14ac:dyDescent="0.25">
      <c r="B159" s="656" t="s">
        <v>288</v>
      </c>
      <c r="C159" s="193" t="s">
        <v>53</v>
      </c>
      <c r="D159" s="172">
        <f>AVERAGE(F159:Q159)</f>
        <v>0.21469703563627393</v>
      </c>
      <c r="E159" s="172"/>
      <c r="F159" s="219">
        <f>'И. Д.'!H77</f>
        <v>0.19</v>
      </c>
      <c r="G159" s="219">
        <f>F159*(1+'цены и инфл'!E29)</f>
        <v>0.19152</v>
      </c>
      <c r="H159" s="219">
        <f>G159*(1+'цены и инфл'!F29)</f>
        <v>0.19745711999999999</v>
      </c>
      <c r="I159" s="219">
        <f>H159*(1+'цены и инфл'!G29)</f>
        <v>0.20476303343999996</v>
      </c>
      <c r="J159" s="219">
        <f>I159*(1+'цены и инфл'!H29)</f>
        <v>0.20885829410879997</v>
      </c>
      <c r="K159" s="219">
        <f>J159*(1+'цены и инфл'!I29)</f>
        <v>0.21303545999097598</v>
      </c>
      <c r="L159" s="219">
        <f>K159*(1+'цены и инфл'!J29)</f>
        <v>0.2172961691907955</v>
      </c>
      <c r="M159" s="219">
        <f>L159*(1+'цены и инфл'!K29)</f>
        <v>0.22164209257461143</v>
      </c>
      <c r="N159" s="219">
        <f>M159*(1+'цены и инфл'!L29)</f>
        <v>0.22607493442610366</v>
      </c>
      <c r="O159" s="219">
        <f>N159*(1+'цены и инфл'!M29)</f>
        <v>0.23059643311462574</v>
      </c>
      <c r="P159" s="219">
        <f>O159*(1+'цены и инфл'!N29)</f>
        <v>0.23520836177691826</v>
      </c>
      <c r="Q159" s="219">
        <f>P159*(1+'цены и инфл'!O29)</f>
        <v>0.23991252901245663</v>
      </c>
    </row>
    <row r="160" spans="2:17" x14ac:dyDescent="0.25">
      <c r="B160" s="658"/>
      <c r="C160" s="209" t="s">
        <v>271</v>
      </c>
      <c r="D160" s="165">
        <f>SUM(F160:Q160)</f>
        <v>1269.278689218472</v>
      </c>
      <c r="E160" s="167"/>
      <c r="F160" s="211">
        <f t="shared" ref="F160:Q160" si="74">F159*F90</f>
        <v>88.836176609445573</v>
      </c>
      <c r="G160" s="211">
        <f t="shared" si="74"/>
        <v>87.638812590131209</v>
      </c>
      <c r="H160" s="211">
        <f t="shared" si="74"/>
        <v>97.30604776353492</v>
      </c>
      <c r="I160" s="211">
        <f t="shared" si="74"/>
        <v>108.11396949727039</v>
      </c>
      <c r="J160" s="211">
        <f t="shared" si="74"/>
        <v>110.2762488872158</v>
      </c>
      <c r="K160" s="211">
        <f t="shared" si="74"/>
        <v>112.48177386496012</v>
      </c>
      <c r="L160" s="211">
        <f t="shared" si="74"/>
        <v>114.73140934225933</v>
      </c>
      <c r="M160" s="211">
        <f t="shared" si="74"/>
        <v>117.02603752910453</v>
      </c>
      <c r="N160" s="211">
        <f t="shared" si="74"/>
        <v>119.36655827968661</v>
      </c>
      <c r="O160" s="211">
        <f t="shared" si="74"/>
        <v>121.75388944528035</v>
      </c>
      <c r="P160" s="211">
        <f t="shared" si="74"/>
        <v>124.18896723418597</v>
      </c>
      <c r="Q160" s="211">
        <f t="shared" si="74"/>
        <v>67.558798175397172</v>
      </c>
    </row>
    <row r="161" spans="2:17" x14ac:dyDescent="0.25">
      <c r="B161" s="655" t="s">
        <v>289</v>
      </c>
      <c r="C161" s="193" t="s">
        <v>53</v>
      </c>
      <c r="D161" s="172">
        <f>AVERAGE(F161:Q161)</f>
        <v>1.4689797175113477E-2</v>
      </c>
      <c r="E161" s="231"/>
      <c r="F161" s="232">
        <f>'И. Д.'!H78</f>
        <v>1.2999999999999999E-2</v>
      </c>
      <c r="G161" s="232">
        <f>F161*(1+'цены и инфл'!E29)</f>
        <v>1.3103999999999999E-2</v>
      </c>
      <c r="H161" s="232">
        <f>G161*(1+'цены и инфл'!F29)</f>
        <v>1.3510223999999998E-2</v>
      </c>
      <c r="I161" s="232">
        <f>H161*(1+'цены и инфл'!G29)</f>
        <v>1.4010102287999997E-2</v>
      </c>
      <c r="J161" s="232">
        <f>I161*(1+'цены и инфл'!H29)</f>
        <v>1.4290304333759997E-2</v>
      </c>
      <c r="K161" s="232">
        <f>J161*(1+'цены и инфл'!I29)</f>
        <v>1.4576110420435197E-2</v>
      </c>
      <c r="L161" s="232">
        <f>K161*(1+'цены и инфл'!J29)</f>
        <v>1.4867632628843901E-2</v>
      </c>
      <c r="M161" s="232">
        <f>L161*(1+'цены и инфл'!K29)</f>
        <v>1.516498528142078E-2</v>
      </c>
      <c r="N161" s="232">
        <f>M161*(1+'цены и инфл'!L29)</f>
        <v>1.5468284987049195E-2</v>
      </c>
      <c r="O161" s="232">
        <f>N161*(1+'цены и инфл'!M29)</f>
        <v>1.5777650686790178E-2</v>
      </c>
      <c r="P161" s="232">
        <f>O161*(1+'цены и инфл'!N29)</f>
        <v>1.6093203700525981E-2</v>
      </c>
      <c r="Q161" s="232">
        <f>P161*(1+'цены и инфл'!O29)</f>
        <v>1.6415067774536503E-2</v>
      </c>
    </row>
    <row r="162" spans="2:17" x14ac:dyDescent="0.25">
      <c r="B162" s="655"/>
      <c r="C162" s="209" t="s">
        <v>271</v>
      </c>
      <c r="D162" s="165">
        <f>SUM(F162:Q162)</f>
        <v>11649.674466625716</v>
      </c>
      <c r="E162" s="167"/>
      <c r="F162" s="211">
        <f t="shared" ref="F162:Q162" si="75">F161*F91</f>
        <v>819.4964099606708</v>
      </c>
      <c r="G162" s="211">
        <f t="shared" si="75"/>
        <v>804.0577451993081</v>
      </c>
      <c r="H162" s="211">
        <f t="shared" si="75"/>
        <v>892.75149955437007</v>
      </c>
      <c r="I162" s="211">
        <f t="shared" si="75"/>
        <v>991.91068396915898</v>
      </c>
      <c r="J162" s="211">
        <f t="shared" si="75"/>
        <v>1011.7488976485422</v>
      </c>
      <c r="K162" s="211">
        <f t="shared" si="75"/>
        <v>1031.9838756015131</v>
      </c>
      <c r="L162" s="211">
        <f t="shared" si="75"/>
        <v>1052.6235531135433</v>
      </c>
      <c r="M162" s="211">
        <f t="shared" si="75"/>
        <v>1073.6760241758143</v>
      </c>
      <c r="N162" s="211">
        <f t="shared" si="75"/>
        <v>1095.1495446593306</v>
      </c>
      <c r="O162" s="211">
        <f t="shared" si="75"/>
        <v>1117.0525355525169</v>
      </c>
      <c r="P162" s="211">
        <f t="shared" si="75"/>
        <v>1139.3935862635674</v>
      </c>
      <c r="Q162" s="211">
        <f t="shared" si="75"/>
        <v>619.83011092738059</v>
      </c>
    </row>
    <row r="163" spans="2:17" ht="18" customHeight="1" x14ac:dyDescent="0.25">
      <c r="B163" s="659" t="s">
        <v>290</v>
      </c>
      <c r="C163" s="563" t="s">
        <v>271</v>
      </c>
      <c r="D163" s="165">
        <f>SUM(F163:Q163)</f>
        <v>55387.58241312686</v>
      </c>
      <c r="E163" s="177"/>
      <c r="F163" s="227">
        <f>F166+F168+F170+F172+F174</f>
        <v>3873.8597778812505</v>
      </c>
      <c r="G163" s="227">
        <f t="shared" ref="G163:Q163" si="76">G166+G168+G170+G172+G174</f>
        <v>3824.4992328106446</v>
      </c>
      <c r="H163" s="227">
        <f t="shared" si="76"/>
        <v>4246.3709174145251</v>
      </c>
      <c r="I163" s="227">
        <f t="shared" si="76"/>
        <v>4718.0214014559251</v>
      </c>
      <c r="J163" s="227">
        <f t="shared" si="76"/>
        <v>4812.3818294850435</v>
      </c>
      <c r="K163" s="227">
        <f t="shared" si="76"/>
        <v>4908.6294660747444</v>
      </c>
      <c r="L163" s="227">
        <f t="shared" si="76"/>
        <v>5006.8020553962397</v>
      </c>
      <c r="M163" s="227">
        <f t="shared" si="76"/>
        <v>5106.9380965041646</v>
      </c>
      <c r="N163" s="227">
        <f t="shared" si="76"/>
        <v>5209.0768584342477</v>
      </c>
      <c r="O163" s="227">
        <f t="shared" si="76"/>
        <v>5313.258395602933</v>
      </c>
      <c r="P163" s="227">
        <f t="shared" si="76"/>
        <v>5419.5235635149902</v>
      </c>
      <c r="Q163" s="227">
        <f t="shared" si="76"/>
        <v>2948.2208185521558</v>
      </c>
    </row>
    <row r="164" spans="2:17" ht="17.25" customHeight="1" x14ac:dyDescent="0.25">
      <c r="B164" s="659"/>
      <c r="C164" s="564" t="s">
        <v>3</v>
      </c>
      <c r="D164" s="228">
        <f>D163/D36</f>
        <v>3.4493207900072109</v>
      </c>
      <c r="E164" s="228"/>
      <c r="F164" s="228">
        <f t="shared" ref="F164:Q164" si="77">F163/F36</f>
        <v>3.0990878223050005</v>
      </c>
      <c r="G164" s="228">
        <f t="shared" si="77"/>
        <v>2.9419224867774187</v>
      </c>
      <c r="H164" s="228">
        <f t="shared" si="77"/>
        <v>3.0331220838675179</v>
      </c>
      <c r="I164" s="228">
        <f t="shared" si="77"/>
        <v>3.1453476009706169</v>
      </c>
      <c r="J164" s="228">
        <f t="shared" si="77"/>
        <v>3.208254552990029</v>
      </c>
      <c r="K164" s="228">
        <f t="shared" si="77"/>
        <v>3.2724196440498297</v>
      </c>
      <c r="L164" s="228">
        <f t="shared" si="77"/>
        <v>3.3378680369308262</v>
      </c>
      <c r="M164" s="228">
        <f t="shared" si="77"/>
        <v>3.4046253976694429</v>
      </c>
      <c r="N164" s="228">
        <f t="shared" si="77"/>
        <v>3.4727179056228317</v>
      </c>
      <c r="O164" s="228">
        <f t="shared" si="77"/>
        <v>3.5421722637352886</v>
      </c>
      <c r="P164" s="228">
        <f t="shared" si="77"/>
        <v>5.4195235635149901</v>
      </c>
      <c r="Q164" s="228">
        <f t="shared" si="77"/>
        <v>4.8527747769292464</v>
      </c>
    </row>
    <row r="165" spans="2:17" x14ac:dyDescent="0.25">
      <c r="B165" s="655" t="s">
        <v>291</v>
      </c>
      <c r="C165" s="193" t="s">
        <v>275</v>
      </c>
      <c r="D165" s="172">
        <f>AVERAGE(F165:Q165)</f>
        <v>65.574547216898324</v>
      </c>
      <c r="E165" s="172"/>
      <c r="F165" s="219">
        <f>'И. Д.'!H79</f>
        <v>58.031373997721161</v>
      </c>
      <c r="G165" s="219">
        <f>F165*(1+'цены и инфл'!E29)</f>
        <v>58.495624989702932</v>
      </c>
      <c r="H165" s="219">
        <f>G165*(1+'цены и инфл'!F29)</f>
        <v>60.30898936438372</v>
      </c>
      <c r="I165" s="219">
        <f>H165*(1+'цены и инфл'!G29)</f>
        <v>62.540421970865914</v>
      </c>
      <c r="J165" s="219">
        <f>I165*(1+'цены и инфл'!H29)</f>
        <v>63.791230410283234</v>
      </c>
      <c r="K165" s="219">
        <f>J165*(1+'цены и инфл'!I29)</f>
        <v>65.067055018488901</v>
      </c>
      <c r="L165" s="219">
        <f>K165*(1+'цены и инфл'!J29)</f>
        <v>66.368396118858684</v>
      </c>
      <c r="M165" s="219">
        <f>L165*(1+'цены и инфл'!K29)</f>
        <v>67.695764041235861</v>
      </c>
      <c r="N165" s="219">
        <f>M165*(1+'цены и инфл'!L29)</f>
        <v>69.049679322060584</v>
      </c>
      <c r="O165" s="219">
        <f>N165*(1+'цены и инфл'!M29)</f>
        <v>70.430672908501791</v>
      </c>
      <c r="P165" s="219">
        <f>O165*(1+'цены и инфл'!N29)</f>
        <v>71.839286366671828</v>
      </c>
      <c r="Q165" s="219">
        <f>P165*(1+'цены и инфл'!O29)</f>
        <v>73.276072094005272</v>
      </c>
    </row>
    <row r="166" spans="2:17" x14ac:dyDescent="0.25">
      <c r="B166" s="655"/>
      <c r="C166" s="209" t="s">
        <v>271</v>
      </c>
      <c r="D166" s="165">
        <f>SUM(F166:Q166)</f>
        <v>16945.321832081852</v>
      </c>
      <c r="E166" s="167"/>
      <c r="F166" s="211">
        <f>F165*F87/1000</f>
        <v>1160.8445723102197</v>
      </c>
      <c r="G166" s="211">
        <f t="shared" ref="G166:Q166" si="78">G165*G87/1000</f>
        <v>1171.8765036213899</v>
      </c>
      <c r="H166" s="211">
        <f t="shared" si="78"/>
        <v>1301.1434964054718</v>
      </c>
      <c r="I166" s="211">
        <f t="shared" si="78"/>
        <v>1445.663363327651</v>
      </c>
      <c r="J166" s="211">
        <f t="shared" si="78"/>
        <v>1474.5766305942043</v>
      </c>
      <c r="K166" s="211">
        <f t="shared" si="78"/>
        <v>1504.0681632060885</v>
      </c>
      <c r="L166" s="211">
        <f t="shared" si="78"/>
        <v>1534.1495264702103</v>
      </c>
      <c r="M166" s="211">
        <f t="shared" si="78"/>
        <v>1564.8325169996144</v>
      </c>
      <c r="N166" s="211">
        <f t="shared" si="78"/>
        <v>1596.129167339607</v>
      </c>
      <c r="O166" s="211">
        <f t="shared" si="78"/>
        <v>1628.0517506863989</v>
      </c>
      <c r="P166" s="211">
        <f t="shared" si="78"/>
        <v>1660.612785700127</v>
      </c>
      <c r="Q166" s="211">
        <f t="shared" si="78"/>
        <v>903.37335542086919</v>
      </c>
    </row>
    <row r="167" spans="2:17" x14ac:dyDescent="0.25">
      <c r="B167" s="655" t="s">
        <v>397</v>
      </c>
      <c r="C167" s="193" t="s">
        <v>275</v>
      </c>
      <c r="D167" s="172">
        <f>AVERAGE(F167:Q167)</f>
        <v>105.15184386138509</v>
      </c>
      <c r="E167" s="172"/>
      <c r="F167" s="219">
        <f>'И. Д.'!H81</f>
        <v>93.056013905613796</v>
      </c>
      <c r="G167" s="211">
        <f>F167*(1+'цены и инфл'!E29)</f>
        <v>93.800462016858702</v>
      </c>
      <c r="H167" s="211">
        <f>G167*(1+'цены и инфл'!F29)</f>
        <v>96.708276339381314</v>
      </c>
      <c r="I167" s="211">
        <f>H167*(1+'цены и инфл'!G29)</f>
        <v>100.28648256393842</v>
      </c>
      <c r="J167" s="211">
        <f>I167*(1+'цены и инфл'!H29)</f>
        <v>102.29221221521719</v>
      </c>
      <c r="K167" s="211">
        <f>J167*(1+'цены и инфл'!I29)</f>
        <v>104.33805645952154</v>
      </c>
      <c r="L167" s="211">
        <f>K167*(1+'цены и инфл'!J29)</f>
        <v>106.42481758871197</v>
      </c>
      <c r="M167" s="211">
        <f>L167*(1+'цены и инфл'!K29)</f>
        <v>108.55331394048622</v>
      </c>
      <c r="N167" s="211">
        <f>M167*(1+'цены и инфл'!L29)</f>
        <v>110.72438021929595</v>
      </c>
      <c r="O167" s="211">
        <f>N167*(1+'цены и инфл'!M29)</f>
        <v>112.93886782368187</v>
      </c>
      <c r="P167" s="211">
        <f>O167*(1+'цены и инфл'!N29)</f>
        <v>115.19764518015552</v>
      </c>
      <c r="Q167" s="211">
        <f>P167*(1+'цены и инфл'!O29)</f>
        <v>117.50159808375864</v>
      </c>
    </row>
    <row r="168" spans="2:17" x14ac:dyDescent="0.25">
      <c r="B168" s="655"/>
      <c r="C168" s="209" t="s">
        <v>271</v>
      </c>
      <c r="D168" s="165">
        <f>SUM(F168:Q168)</f>
        <v>12290.636285830589</v>
      </c>
      <c r="E168" s="167"/>
      <c r="F168" s="211">
        <f>F167*F88/1000</f>
        <v>866.44143047098578</v>
      </c>
      <c r="G168" s="211">
        <f>G167*G88/1000</f>
        <v>848.15894143725143</v>
      </c>
      <c r="H168" s="211">
        <f t="shared" ref="H168:Q168" si="79">H167*H88/1000</f>
        <v>941.71739697732994</v>
      </c>
      <c r="I168" s="211">
        <f t="shared" si="79"/>
        <v>1046.3152935701689</v>
      </c>
      <c r="J168" s="211">
        <f t="shared" si="79"/>
        <v>1067.2415994415724</v>
      </c>
      <c r="K168" s="211">
        <f t="shared" si="79"/>
        <v>1088.5864314304038</v>
      </c>
      <c r="L168" s="211">
        <f t="shared" si="79"/>
        <v>1110.3581600590119</v>
      </c>
      <c r="M168" s="211">
        <f t="shared" si="79"/>
        <v>1132.5653232601924</v>
      </c>
      <c r="N168" s="211">
        <f t="shared" si="79"/>
        <v>1155.2166297253962</v>
      </c>
      <c r="O168" s="211">
        <f t="shared" si="79"/>
        <v>1178.3209623199041</v>
      </c>
      <c r="P168" s="211">
        <f t="shared" si="79"/>
        <v>1201.8873815663021</v>
      </c>
      <c r="Q168" s="211">
        <f t="shared" si="79"/>
        <v>653.82673557206851</v>
      </c>
    </row>
    <row r="169" spans="2:17" x14ac:dyDescent="0.25">
      <c r="B169" s="655" t="s">
        <v>292</v>
      </c>
      <c r="C169" s="193" t="s">
        <v>275</v>
      </c>
      <c r="D169" s="172">
        <f>AVERAGE(F169:Q169)</f>
        <v>47.170322796075261</v>
      </c>
      <c r="E169" s="172"/>
      <c r="F169" s="219">
        <f>'И. Д.'!H80</f>
        <v>41.744224854775176</v>
      </c>
      <c r="G169" s="219">
        <f>F169*(1+'цены и инфл'!E29)</f>
        <v>42.078178653613378</v>
      </c>
      <c r="H169" s="219">
        <f>G169*(1+'цены и инфл'!F29)</f>
        <v>43.382602191875392</v>
      </c>
      <c r="I169" s="219">
        <f>H169*(1+'цены и инфл'!G29)</f>
        <v>44.987758472974775</v>
      </c>
      <c r="J169" s="219">
        <f>I169*(1+'цены и инфл'!H29)</f>
        <v>45.887513642434271</v>
      </c>
      <c r="K169" s="219">
        <f>J169*(1+'цены и инфл'!I29)</f>
        <v>46.805263915282957</v>
      </c>
      <c r="L169" s="219">
        <f>K169*(1+'цены и инфл'!J29)</f>
        <v>47.741369193588618</v>
      </c>
      <c r="M169" s="219">
        <f>L169*(1+'цены и инфл'!K29)</f>
        <v>48.696196577460391</v>
      </c>
      <c r="N169" s="219">
        <f>M169*(1+'цены и инфл'!L29)</f>
        <v>49.6701205090096</v>
      </c>
      <c r="O169" s="219">
        <f>N169*(1+'цены и инфл'!M29)</f>
        <v>50.663522919189795</v>
      </c>
      <c r="P169" s="219">
        <f>O169*(1+'цены и инфл'!N29)</f>
        <v>51.676793377573588</v>
      </c>
      <c r="Q169" s="219">
        <f>P169*(1+'цены и инфл'!O29)</f>
        <v>52.71032924512506</v>
      </c>
    </row>
    <row r="170" spans="2:17" x14ac:dyDescent="0.25">
      <c r="B170" s="655"/>
      <c r="C170" s="209" t="s">
        <v>271</v>
      </c>
      <c r="D170" s="165">
        <f>SUM(F170:Q170)</f>
        <v>25596.609044503799</v>
      </c>
      <c r="E170" s="167"/>
      <c r="F170" s="211">
        <f>F169*F89/1000</f>
        <v>1807.5556281301974</v>
      </c>
      <c r="G170" s="211">
        <f t="shared" ref="G170:Q170" si="80">G169*G89/1000</f>
        <v>1766.1549561157724</v>
      </c>
      <c r="H170" s="211">
        <f t="shared" si="80"/>
        <v>1960.9754335826967</v>
      </c>
      <c r="I170" s="211">
        <f t="shared" si="80"/>
        <v>2178.7837763842031</v>
      </c>
      <c r="J170" s="211">
        <f t="shared" si="80"/>
        <v>2222.3594519118869</v>
      </c>
      <c r="K170" s="211">
        <f t="shared" si="80"/>
        <v>2266.8066409501248</v>
      </c>
      <c r="L170" s="211">
        <f t="shared" si="80"/>
        <v>2312.1427737691279</v>
      </c>
      <c r="M170" s="211">
        <f t="shared" si="80"/>
        <v>2358.3856292445103</v>
      </c>
      <c r="N170" s="211">
        <f t="shared" si="80"/>
        <v>2405.5533418293999</v>
      </c>
      <c r="O170" s="211">
        <f t="shared" si="80"/>
        <v>2453.6644086659885</v>
      </c>
      <c r="P170" s="211">
        <f t="shared" si="80"/>
        <v>2502.7376968393078</v>
      </c>
      <c r="Q170" s="211">
        <f t="shared" si="80"/>
        <v>1361.4893070805836</v>
      </c>
    </row>
    <row r="171" spans="2:17" x14ac:dyDescent="0.25">
      <c r="B171" s="655" t="s">
        <v>293</v>
      </c>
      <c r="C171" s="193" t="s">
        <v>113</v>
      </c>
      <c r="D171" s="172">
        <f>AVERAGE(F171:Q171)</f>
        <v>11.61113018332658</v>
      </c>
      <c r="E171" s="172"/>
      <c r="F171" s="219">
        <f>'И. Д.'!H82</f>
        <v>10.275478318990439</v>
      </c>
      <c r="G171" s="219">
        <f>F171*(1+'цены и инфл'!E29)</f>
        <v>10.357682145542363</v>
      </c>
      <c r="H171" s="219">
        <f>G171*(1+'цены и инфл'!F29)</f>
        <v>10.678770292054175</v>
      </c>
      <c r="I171" s="219">
        <f>H171*(1+'цены и инфл'!G29)</f>
        <v>11.073884792860179</v>
      </c>
      <c r="J171" s="219">
        <f>I171*(1+'цены и инфл'!H29)</f>
        <v>11.295362488717382</v>
      </c>
      <c r="K171" s="219">
        <f>J171*(1+'цены и инфл'!I29)</f>
        <v>11.52126973849173</v>
      </c>
      <c r="L171" s="219">
        <f>K171*(1+'цены и инфл'!J29)</f>
        <v>11.751695133261565</v>
      </c>
      <c r="M171" s="219">
        <f>L171*(1+'цены и инфл'!K29)</f>
        <v>11.986729035926796</v>
      </c>
      <c r="N171" s="219">
        <f>M171*(1+'цены и инфл'!L29)</f>
        <v>12.226463616645333</v>
      </c>
      <c r="O171" s="219">
        <f>N171*(1+'цены и инфл'!M29)</f>
        <v>12.470992888978239</v>
      </c>
      <c r="P171" s="219">
        <f>O171*(1+'цены и инфл'!N29)</f>
        <v>12.720412746757804</v>
      </c>
      <c r="Q171" s="219">
        <f>P171*(1+'цены и инфл'!O29)</f>
        <v>12.974821001692961</v>
      </c>
    </row>
    <row r="172" spans="2:17" x14ac:dyDescent="0.25">
      <c r="B172" s="655"/>
      <c r="C172" s="209" t="s">
        <v>271</v>
      </c>
      <c r="D172" s="165">
        <f>SUM(F172:Q172)</f>
        <v>68.644450799057964</v>
      </c>
      <c r="E172" s="183"/>
      <c r="F172" s="211">
        <f t="shared" ref="F172:Q172" si="81">F171*F90/1000</f>
        <v>4.8043905615387548</v>
      </c>
      <c r="G172" s="219">
        <f t="shared" si="81"/>
        <v>4.7396353614313664</v>
      </c>
      <c r="H172" s="219">
        <f t="shared" si="81"/>
        <v>5.2624536005307956</v>
      </c>
      <c r="I172" s="219">
        <f t="shared" si="81"/>
        <v>5.8469618397326082</v>
      </c>
      <c r="J172" s="219">
        <f t="shared" si="81"/>
        <v>5.9639010765272609</v>
      </c>
      <c r="K172" s="219">
        <f t="shared" si="81"/>
        <v>6.0831790980578058</v>
      </c>
      <c r="L172" s="219">
        <f t="shared" si="81"/>
        <v>6.2048426800189622</v>
      </c>
      <c r="M172" s="219">
        <f t="shared" si="81"/>
        <v>6.3289395336193408</v>
      </c>
      <c r="N172" s="219">
        <f t="shared" si="81"/>
        <v>6.4555183242917282</v>
      </c>
      <c r="O172" s="219">
        <f t="shared" si="81"/>
        <v>6.5846286907775626</v>
      </c>
      <c r="P172" s="219">
        <f t="shared" si="81"/>
        <v>6.7163212645931143</v>
      </c>
      <c r="Q172" s="219">
        <f t="shared" si="81"/>
        <v>3.6536787679386542</v>
      </c>
    </row>
    <row r="173" spans="2:17" x14ac:dyDescent="0.25">
      <c r="B173" s="655" t="s">
        <v>294</v>
      </c>
      <c r="C173" s="193" t="s">
        <v>113</v>
      </c>
      <c r="D173" s="172">
        <f>AVERAGE(F173:Q173)</f>
        <v>0.61329511164169692</v>
      </c>
      <c r="E173" s="172"/>
      <c r="F173" s="219">
        <f>'И. Д.'!H83</f>
        <v>0.54274653055449484</v>
      </c>
      <c r="G173" s="219">
        <f>F173*(1+'цены и инфл'!E29)</f>
        <v>0.54708850279893084</v>
      </c>
      <c r="H173" s="219">
        <f>G173*(1+'цены и инфл'!F29)</f>
        <v>0.56404824638569762</v>
      </c>
      <c r="I173" s="219">
        <f>H173*(1+'цены и инфл'!G29)</f>
        <v>0.58491803150196842</v>
      </c>
      <c r="J173" s="219">
        <f>I173*(1+'цены и инфл'!H29)</f>
        <v>0.59661639213200779</v>
      </c>
      <c r="K173" s="219">
        <f>J173*(1+'цены и инфл'!I29)</f>
        <v>0.60854871997464799</v>
      </c>
      <c r="L173" s="219">
        <f>K173*(1+'цены и инфл'!J29)</f>
        <v>0.62071969437414098</v>
      </c>
      <c r="M173" s="219">
        <f>L173*(1+'цены и инфл'!K29)</f>
        <v>0.63313408826162376</v>
      </c>
      <c r="N173" s="219">
        <f>M173*(1+'цены и инфл'!L29)</f>
        <v>0.6457967700268562</v>
      </c>
      <c r="O173" s="219">
        <f>N173*(1+'цены и инфл'!M29)</f>
        <v>0.65871270542739335</v>
      </c>
      <c r="P173" s="219">
        <f>O173*(1+'цены и инфл'!N29)</f>
        <v>0.67188695953594124</v>
      </c>
      <c r="Q173" s="219">
        <f>P173*(1+'цены и инфл'!O29)</f>
        <v>0.68532469872666013</v>
      </c>
    </row>
    <row r="174" spans="2:17" x14ac:dyDescent="0.25">
      <c r="B174" s="655"/>
      <c r="C174" s="209" t="s">
        <v>271</v>
      </c>
      <c r="D174" s="165">
        <f>SUM(F174:Q174)</f>
        <v>486.37079991156872</v>
      </c>
      <c r="E174" s="167"/>
      <c r="F174" s="211">
        <f t="shared" ref="F174:Q174" si="82">F173*F91/1000</f>
        <v>34.213756408309081</v>
      </c>
      <c r="G174" s="211">
        <f t="shared" si="82"/>
        <v>33.569196274799587</v>
      </c>
      <c r="H174" s="211">
        <f t="shared" si="82"/>
        <v>37.272136848496693</v>
      </c>
      <c r="I174" s="211">
        <f t="shared" si="82"/>
        <v>41.412006334169014</v>
      </c>
      <c r="J174" s="211">
        <f t="shared" si="82"/>
        <v>42.24024646085239</v>
      </c>
      <c r="K174" s="211">
        <f t="shared" si="82"/>
        <v>43.085051390069445</v>
      </c>
      <c r="L174" s="211">
        <f t="shared" si="82"/>
        <v>43.946752417870833</v>
      </c>
      <c r="M174" s="211">
        <f t="shared" si="82"/>
        <v>44.825687466228246</v>
      </c>
      <c r="N174" s="211">
        <f t="shared" si="82"/>
        <v>45.722201215552808</v>
      </c>
      <c r="O174" s="211">
        <f t="shared" si="82"/>
        <v>46.636645239863867</v>
      </c>
      <c r="P174" s="211">
        <f t="shared" si="82"/>
        <v>47.569378144661144</v>
      </c>
      <c r="Q174" s="211">
        <f t="shared" si="82"/>
        <v>25.877741710695659</v>
      </c>
    </row>
    <row r="175" spans="2:17" x14ac:dyDescent="0.25">
      <c r="B175" s="656" t="s">
        <v>295</v>
      </c>
      <c r="C175" s="564" t="s">
        <v>3</v>
      </c>
      <c r="D175" s="172">
        <f>AVERAGE(F175:Q175)</f>
        <v>22.034695762670214</v>
      </c>
      <c r="E175" s="228"/>
      <c r="F175" s="228">
        <f>'И. Д.'!H84</f>
        <v>19.5</v>
      </c>
      <c r="G175" s="228">
        <f>F175*(1+'цены и инфл'!E29)</f>
        <v>19.655999999999999</v>
      </c>
      <c r="H175" s="228">
        <f>G175*(1+'цены и инфл'!F29)</f>
        <v>20.265335999999998</v>
      </c>
      <c r="I175" s="228">
        <f>H175*(1+'цены и инфл'!G29)</f>
        <v>21.015153431999995</v>
      </c>
      <c r="J175" s="228">
        <f>I175*(1+'цены и инфл'!H29)</f>
        <v>21.435456500639994</v>
      </c>
      <c r="K175" s="228">
        <f>J175*(1+'цены и инфл'!I29)</f>
        <v>21.864165630652796</v>
      </c>
      <c r="L175" s="228">
        <f>K175*(1+'цены и инфл'!J29)</f>
        <v>22.301448943265854</v>
      </c>
      <c r="M175" s="228">
        <f>L175*(1+'цены и инфл'!K29)</f>
        <v>22.747477922131171</v>
      </c>
      <c r="N175" s="228">
        <f>M175*(1+'цены и инфл'!L29)</f>
        <v>23.202427480573796</v>
      </c>
      <c r="O175" s="228">
        <f>N175*(1+'цены и инфл'!M29)</f>
        <v>23.666476030185272</v>
      </c>
      <c r="P175" s="228">
        <f>O175*(1+'цены и инфл'!N29)</f>
        <v>24.139805550788978</v>
      </c>
      <c r="Q175" s="228">
        <f>P175*(1+'цены и инфл'!O29)</f>
        <v>24.622601661804758</v>
      </c>
    </row>
    <row r="176" spans="2:17" x14ac:dyDescent="0.25">
      <c r="B176" s="657"/>
      <c r="C176" s="563" t="s">
        <v>271</v>
      </c>
      <c r="D176" s="165">
        <f>SUM(F176:Q176)</f>
        <v>351747.02791536355</v>
      </c>
      <c r="E176" s="177"/>
      <c r="F176" s="227">
        <f t="shared" ref="F176:Q176" si="83">F175*F22</f>
        <v>24375</v>
      </c>
      <c r="G176" s="227">
        <f t="shared" si="83"/>
        <v>25552.799999999999</v>
      </c>
      <c r="H176" s="227">
        <f t="shared" si="83"/>
        <v>28371.470399999998</v>
      </c>
      <c r="I176" s="227">
        <f t="shared" si="83"/>
        <v>31522.730147999991</v>
      </c>
      <c r="J176" s="227">
        <f t="shared" si="83"/>
        <v>32153.18475095999</v>
      </c>
      <c r="K176" s="227">
        <f t="shared" si="83"/>
        <v>32796.248445979196</v>
      </c>
      <c r="L176" s="227">
        <f t="shared" si="83"/>
        <v>33452.173414898782</v>
      </c>
      <c r="M176" s="227">
        <f t="shared" si="83"/>
        <v>34121.216883196757</v>
      </c>
      <c r="N176" s="227">
        <f t="shared" si="83"/>
        <v>34803.641220860693</v>
      </c>
      <c r="O176" s="227">
        <f t="shared" si="83"/>
        <v>35499.714045277906</v>
      </c>
      <c r="P176" s="227">
        <f t="shared" si="83"/>
        <v>24139.805550788977</v>
      </c>
      <c r="Q176" s="227">
        <f t="shared" si="83"/>
        <v>14959.043055401231</v>
      </c>
    </row>
    <row r="177" spans="2:17" x14ac:dyDescent="0.25">
      <c r="B177" s="210"/>
      <c r="C177" s="209"/>
      <c r="D177" s="183"/>
      <c r="E177" s="183"/>
      <c r="F177" s="211"/>
      <c r="G177" s="211"/>
      <c r="H177" s="211"/>
      <c r="I177" s="211"/>
      <c r="J177" s="211"/>
      <c r="K177" s="211"/>
      <c r="L177" s="211"/>
      <c r="M177" s="168"/>
      <c r="N177" s="168"/>
      <c r="O177" s="168"/>
      <c r="P177" s="168"/>
      <c r="Q177" s="168"/>
    </row>
    <row r="178" spans="2:17" x14ac:dyDescent="0.25">
      <c r="B178" s="664" t="s">
        <v>296</v>
      </c>
      <c r="C178" s="563" t="s">
        <v>271</v>
      </c>
      <c r="D178" s="165">
        <f>SUM(F178:Q178)</f>
        <v>687289.9938835823</v>
      </c>
      <c r="E178" s="177"/>
      <c r="F178" s="233">
        <f>F181+F200+F202+F203+F204+F205+F206+F211</f>
        <v>51893.636236685037</v>
      </c>
      <c r="G178" s="233">
        <f t="shared" ref="G178:Q178" si="84">G181+G200+G202+G203+G204+G205+G206+G211</f>
        <v>51583.120351897218</v>
      </c>
      <c r="H178" s="233">
        <f t="shared" si="84"/>
        <v>55711.449158932352</v>
      </c>
      <c r="I178" s="233">
        <f t="shared" si="84"/>
        <v>57743.580779500982</v>
      </c>
      <c r="J178" s="233">
        <f t="shared" si="84"/>
        <v>58755.102327929679</v>
      </c>
      <c r="K178" s="233">
        <f t="shared" si="84"/>
        <v>59801.621791108446</v>
      </c>
      <c r="L178" s="233">
        <f t="shared" si="84"/>
        <v>60881.778350747794</v>
      </c>
      <c r="M178" s="233">
        <f t="shared" si="84"/>
        <v>61994.97882830102</v>
      </c>
      <c r="N178" s="233">
        <f t="shared" si="84"/>
        <v>63140.744680556018</v>
      </c>
      <c r="O178" s="233">
        <f t="shared" si="84"/>
        <v>64318.701644277811</v>
      </c>
      <c r="P178" s="233">
        <f t="shared" si="84"/>
        <v>65452.404805434773</v>
      </c>
      <c r="Q178" s="233">
        <f t="shared" si="84"/>
        <v>36012.874928211269</v>
      </c>
    </row>
    <row r="179" spans="2:17" x14ac:dyDescent="0.25">
      <c r="B179" s="664"/>
      <c r="C179" s="564" t="s">
        <v>3</v>
      </c>
      <c r="D179" s="234">
        <f>D178/D22</f>
        <v>42.801717666317877</v>
      </c>
      <c r="E179" s="234"/>
      <c r="F179" s="234">
        <f t="shared" ref="F179:Q179" si="85">F178/F22</f>
        <v>41.514908989348029</v>
      </c>
      <c r="G179" s="234">
        <f t="shared" si="85"/>
        <v>39.679323347613241</v>
      </c>
      <c r="H179" s="234">
        <f t="shared" si="85"/>
        <v>39.793892256380254</v>
      </c>
      <c r="I179" s="234">
        <f t="shared" si="85"/>
        <v>38.495720519667323</v>
      </c>
      <c r="J179" s="234">
        <f t="shared" si="85"/>
        <v>39.170068218619782</v>
      </c>
      <c r="K179" s="234">
        <f t="shared" si="85"/>
        <v>39.867747860738966</v>
      </c>
      <c r="L179" s="234">
        <f t="shared" si="85"/>
        <v>40.58785223383186</v>
      </c>
      <c r="M179" s="234">
        <f t="shared" si="85"/>
        <v>41.329985885534015</v>
      </c>
      <c r="N179" s="234">
        <f t="shared" si="85"/>
        <v>42.093829787037343</v>
      </c>
      <c r="O179" s="234">
        <f t="shared" si="85"/>
        <v>42.879134429518544</v>
      </c>
      <c r="P179" s="234">
        <f t="shared" si="85"/>
        <v>65.452404805434767</v>
      </c>
      <c r="Q179" s="234">
        <f t="shared" si="85"/>
        <v>59.277232558908352</v>
      </c>
    </row>
    <row r="180" spans="2:17" x14ac:dyDescent="0.25">
      <c r="B180" s="168" t="s">
        <v>272</v>
      </c>
      <c r="C180" s="235"/>
      <c r="D180" s="167"/>
      <c r="E180" s="167"/>
      <c r="F180" s="234"/>
      <c r="G180" s="234"/>
      <c r="H180" s="234"/>
      <c r="I180" s="234"/>
      <c r="J180" s="234"/>
      <c r="K180" s="234"/>
      <c r="L180" s="234"/>
      <c r="M180" s="234"/>
      <c r="N180" s="234"/>
      <c r="O180" s="234"/>
      <c r="P180" s="234"/>
      <c r="Q180" s="234"/>
    </row>
    <row r="181" spans="2:17" x14ac:dyDescent="0.25">
      <c r="B181" s="665" t="s">
        <v>297</v>
      </c>
      <c r="C181" s="563" t="s">
        <v>271</v>
      </c>
      <c r="D181" s="165">
        <f>SUM(F181:Q181)</f>
        <v>625852.31560229138</v>
      </c>
      <c r="E181" s="177"/>
      <c r="F181" s="234">
        <f t="shared" ref="F181" si="86">F183+F184+F185+F186+F187</f>
        <v>46581.106474891727</v>
      </c>
      <c r="G181" s="234">
        <f>G183+G184+G185+G186+G187</f>
        <v>46382.091954096955</v>
      </c>
      <c r="H181" s="234">
        <f t="shared" ref="H181:Q181" si="87">H183+H184+H185+H186+H187</f>
        <v>50390.918656984475</v>
      </c>
      <c r="I181" s="234">
        <f t="shared" si="87"/>
        <v>52400.721788442832</v>
      </c>
      <c r="J181" s="234">
        <f t="shared" si="87"/>
        <v>53448.736224211687</v>
      </c>
      <c r="K181" s="234">
        <f t="shared" si="87"/>
        <v>54517.710948695923</v>
      </c>
      <c r="L181" s="234">
        <f t="shared" si="87"/>
        <v>55608.065167669847</v>
      </c>
      <c r="M181" s="234">
        <f t="shared" si="87"/>
        <v>56720.226471023248</v>
      </c>
      <c r="N181" s="234">
        <f t="shared" si="87"/>
        <v>57854.631000443704</v>
      </c>
      <c r="O181" s="234">
        <f t="shared" si="87"/>
        <v>59011.723620452583</v>
      </c>
      <c r="P181" s="234">
        <f t="shared" si="87"/>
        <v>60191.958092861641</v>
      </c>
      <c r="Q181" s="234">
        <f t="shared" si="87"/>
        <v>32744.42520251673</v>
      </c>
    </row>
    <row r="182" spans="2:17" x14ac:dyDescent="0.25">
      <c r="B182" s="665"/>
      <c r="C182" s="564" t="s">
        <v>3</v>
      </c>
      <c r="D182" s="236">
        <f>D181/D22</f>
        <v>38.975620701031183</v>
      </c>
      <c r="E182" s="236"/>
      <c r="F182" s="236">
        <f t="shared" ref="F182:Q182" si="88">F181/F22</f>
        <v>37.264885179913385</v>
      </c>
      <c r="G182" s="236">
        <f t="shared" si="88"/>
        <v>35.67853227238227</v>
      </c>
      <c r="H182" s="236">
        <f t="shared" si="88"/>
        <v>35.993513326417485</v>
      </c>
      <c r="I182" s="236">
        <f t="shared" si="88"/>
        <v>34.933814525628556</v>
      </c>
      <c r="J182" s="236">
        <f t="shared" si="88"/>
        <v>35.632490816141122</v>
      </c>
      <c r="K182" s="236">
        <f t="shared" si="88"/>
        <v>36.345140632463952</v>
      </c>
      <c r="L182" s="236">
        <f t="shared" si="88"/>
        <v>37.072043445113231</v>
      </c>
      <c r="M182" s="236">
        <f t="shared" si="88"/>
        <v>37.813484314015497</v>
      </c>
      <c r="N182" s="236">
        <f t="shared" si="88"/>
        <v>38.569754000295802</v>
      </c>
      <c r="O182" s="236">
        <f t="shared" si="88"/>
        <v>39.341149080301719</v>
      </c>
      <c r="P182" s="236">
        <f t="shared" si="88"/>
        <v>60.19195809286164</v>
      </c>
      <c r="Q182" s="236">
        <f t="shared" si="88"/>
        <v>53.897360641342495</v>
      </c>
    </row>
    <row r="183" spans="2:17" x14ac:dyDescent="0.25">
      <c r="B183" s="169" t="s">
        <v>219</v>
      </c>
      <c r="C183" s="237" t="s">
        <v>271</v>
      </c>
      <c r="D183" s="183">
        <f>SUM(F183:Q183)</f>
        <v>248398.26466675033</v>
      </c>
      <c r="E183" s="167"/>
      <c r="F183" s="238">
        <f>F189*F195*'цены и инфл'!D4/1000</f>
        <v>17947.842774167118</v>
      </c>
      <c r="G183" s="238">
        <f>G189*G195*'цены и инфл'!E4/1000</f>
        <v>19855.674736106794</v>
      </c>
      <c r="H183" s="238">
        <f>H189*H195*'цены и инфл'!F4/1000</f>
        <v>20707.780615470081</v>
      </c>
      <c r="I183" s="238">
        <f>I189*I195*'цены и инфл'!G4/1000</f>
        <v>20622.282395174807</v>
      </c>
      <c r="J183" s="238">
        <f>J189*J195*'цены и инфл'!H4/1000</f>
        <v>21034.728043078303</v>
      </c>
      <c r="K183" s="238">
        <f>K189*K195*'цены и инфл'!I4/1000</f>
        <v>21455.422603939871</v>
      </c>
      <c r="L183" s="238">
        <f>L189*L195*'цены и инфл'!J4/1000</f>
        <v>21884.531056018666</v>
      </c>
      <c r="M183" s="238">
        <f>M189*M195*'цены и инфл'!K4/1000</f>
        <v>22322.221677139041</v>
      </c>
      <c r="N183" s="238">
        <f>N189*N195*'цены и инфл'!L4/1000</f>
        <v>22768.666110681821</v>
      </c>
      <c r="O183" s="238">
        <f>O189*O195*'цены и инфл'!M4/1000</f>
        <v>23224.039432895461</v>
      </c>
      <c r="P183" s="238">
        <f>P189*P195*'цены и инфл'!N4/1000</f>
        <v>23688.520221553375</v>
      </c>
      <c r="Q183" s="238">
        <f>Q189*Q195*'цены и инфл'!O4/1000</f>
        <v>12886.555000525035</v>
      </c>
    </row>
    <row r="184" spans="2:17" x14ac:dyDescent="0.25">
      <c r="B184" s="169" t="s">
        <v>220</v>
      </c>
      <c r="C184" s="237" t="s">
        <v>271</v>
      </c>
      <c r="D184" s="183">
        <f>SUM(F184:Q184)</f>
        <v>192001.82038346661</v>
      </c>
      <c r="E184" s="167"/>
      <c r="F184" s="238">
        <f>F190*F196*'цены и инфл'!D5/1000</f>
        <v>13900.635841757263</v>
      </c>
      <c r="G184" s="238">
        <f>G190*G196*'цены и инфл'!E5/1000</f>
        <v>13474.456810122974</v>
      </c>
      <c r="H184" s="238">
        <f>H190*H196*'цены и инфл'!F5/1000</f>
        <v>15627.180679195875</v>
      </c>
      <c r="I184" s="238">
        <f>I190*I196*'цены и инфл'!G5/1000</f>
        <v>16181.788524195397</v>
      </c>
      <c r="J184" s="238">
        <f>J190*J196*'цены и инфл'!H5/1000</f>
        <v>16505.424294679306</v>
      </c>
      <c r="K184" s="238">
        <f>K190*K196*'цены и инфл'!I5/1000</f>
        <v>16835.532780572892</v>
      </c>
      <c r="L184" s="238">
        <f>L190*L196*'цены и инфл'!J5/1000</f>
        <v>17172.243436184352</v>
      </c>
      <c r="M184" s="238">
        <f>M190*M196*'цены и инфл'!K5/1000</f>
        <v>17515.688304908039</v>
      </c>
      <c r="N184" s="238">
        <f>N190*N196*'цены и инфл'!L5/1000</f>
        <v>17866.002071006198</v>
      </c>
      <c r="O184" s="238">
        <f>O190*O196*'цены и инфл'!M5/1000</f>
        <v>18223.322112426322</v>
      </c>
      <c r="P184" s="238">
        <f>P190*P196*'цены и инфл'!N5/1000</f>
        <v>18587.788554674848</v>
      </c>
      <c r="Q184" s="238">
        <f>Q190*Q196*'цены и инфл'!O5/1000</f>
        <v>10111.756973743119</v>
      </c>
    </row>
    <row r="185" spans="2:17" x14ac:dyDescent="0.25">
      <c r="B185" s="171" t="s">
        <v>221</v>
      </c>
      <c r="C185" s="237" t="s">
        <v>271</v>
      </c>
      <c r="D185" s="183">
        <f>SUM(F185:Q185)</f>
        <v>42630.881057177961</v>
      </c>
      <c r="E185" s="167"/>
      <c r="F185" s="238">
        <f>F191*F197*'цены и инфл'!D8/1000</f>
        <v>3262.1412018894807</v>
      </c>
      <c r="G185" s="238">
        <f>G191*G197*'цены и инфл'!E8/1000</f>
        <v>3167.9641450630143</v>
      </c>
      <c r="H185" s="238">
        <f>H191*H197*'цены и инфл'!F8/1000</f>
        <v>3411.6536946832466</v>
      </c>
      <c r="I185" s="238">
        <f>I191*I197*'цены и инфл'!G8/1000</f>
        <v>3560.994975125539</v>
      </c>
      <c r="J185" s="238">
        <f>J191*J197*'цены и инфл'!H8/1000</f>
        <v>3632.2148746280504</v>
      </c>
      <c r="K185" s="238">
        <f>K191*K197*'цены и инфл'!I8/1000</f>
        <v>3704.8591721206112</v>
      </c>
      <c r="L185" s="238">
        <f>L191*L197*'цены и инфл'!J8/1000</f>
        <v>3778.9563555630239</v>
      </c>
      <c r="M185" s="238">
        <f>M191*M197*'цены и инфл'!K8/1000</f>
        <v>3854.535482674285</v>
      </c>
      <c r="N185" s="238">
        <f>N191*N197*'цены и инфл'!L8/1000</f>
        <v>3931.6261923277702</v>
      </c>
      <c r="O185" s="238">
        <f>O191*O197*'цены и инфл'!M8/1000</f>
        <v>4010.2587161743254</v>
      </c>
      <c r="P185" s="238">
        <f>P191*P197*'цены и инфл'!N8/1000</f>
        <v>4090.4638904978115</v>
      </c>
      <c r="Q185" s="238">
        <f>Q191*Q197*'цены и инфл'!O8/1000</f>
        <v>2225.2123564308095</v>
      </c>
    </row>
    <row r="186" spans="2:17" x14ac:dyDescent="0.25">
      <c r="B186" s="169" t="s">
        <v>222</v>
      </c>
      <c r="C186" s="237" t="s">
        <v>271</v>
      </c>
      <c r="D186" s="183">
        <f>SUM(F186:Q186)</f>
        <v>55714.10109449843</v>
      </c>
      <c r="E186" s="167"/>
      <c r="F186" s="238">
        <f>F192*F198*'цены и инфл'!D6/31.1035</f>
        <v>4804.0153676332675</v>
      </c>
      <c r="G186" s="238">
        <f>G192*G198*'цены и инфл'!E6/31.1035</f>
        <v>3959.2859018514382</v>
      </c>
      <c r="H186" s="238">
        <f>H192*H198*'цены и инфл'!F6/31.1035</f>
        <v>4263.8463558400108</v>
      </c>
      <c r="I186" s="238">
        <f>I192*I198*'цены и инфл'!G6/31.1035</f>
        <v>4635.9285477388712</v>
      </c>
      <c r="J186" s="238">
        <f>J192*J198*'цены и инфл'!H6/31.1035</f>
        <v>4728.6471186936478</v>
      </c>
      <c r="K186" s="238">
        <f>K192*K198*'цены и инфл'!I6/31.1035</f>
        <v>4823.2200610675218</v>
      </c>
      <c r="L186" s="238">
        <f>L192*L198*'цены и инфл'!J6/31.1035</f>
        <v>4919.6844622888721</v>
      </c>
      <c r="M186" s="238">
        <f>M192*M198*'цены и инфл'!K6/31.1035</f>
        <v>5018.0781515346498</v>
      </c>
      <c r="N186" s="238">
        <f>N192*N198*'цены и инфл'!L6/31.1035</f>
        <v>5118.4397145653429</v>
      </c>
      <c r="O186" s="238">
        <f>O192*O198*'цены и инфл'!M6/31.1035</f>
        <v>5220.8085088566495</v>
      </c>
      <c r="P186" s="238">
        <f>P192*P198*'цены и инфл'!N6/31.1035</f>
        <v>5325.2246790337822</v>
      </c>
      <c r="Q186" s="238">
        <f>Q192*Q198*'цены и инфл'!O6/31.1035</f>
        <v>2896.9222253943776</v>
      </c>
    </row>
    <row r="187" spans="2:17" x14ac:dyDescent="0.25">
      <c r="B187" s="169" t="s">
        <v>224</v>
      </c>
      <c r="C187" s="237" t="s">
        <v>271</v>
      </c>
      <c r="D187" s="183">
        <f>SUM(F187:Q187)</f>
        <v>87107.248400398006</v>
      </c>
      <c r="E187" s="167"/>
      <c r="F187" s="238">
        <f>F193*F199*'цены и инфл'!D7/31.1035</f>
        <v>6666.4712894446002</v>
      </c>
      <c r="G187" s="238">
        <f>G193*G199*'цены и инфл'!E7/31.1035</f>
        <v>5924.710360952743</v>
      </c>
      <c r="H187" s="238">
        <f>H193*H199*'цены и инфл'!F7/31.1035</f>
        <v>6380.4573117952605</v>
      </c>
      <c r="I187" s="238">
        <f>I193*I199*'цены и инфл'!G7/31.1035</f>
        <v>7399.7273462082176</v>
      </c>
      <c r="J187" s="238">
        <f>J193*J199*'цены и инфл'!H7/31.1035</f>
        <v>7547.7218931323814</v>
      </c>
      <c r="K187" s="238">
        <f>K193*K199*'цены и инфл'!I7/31.1035</f>
        <v>7698.6763309950293</v>
      </c>
      <c r="L187" s="238">
        <f>L193*L199*'цены и инфл'!J7/31.1035</f>
        <v>7852.6498576149297</v>
      </c>
      <c r="M187" s="238">
        <f>M193*M199*'цены и инфл'!K7/31.1035</f>
        <v>8009.7028547672289</v>
      </c>
      <c r="N187" s="238">
        <f>N193*N199*'цены и инфл'!L7/31.1035</f>
        <v>8169.8969118625737</v>
      </c>
      <c r="O187" s="238">
        <f>O193*O199*'цены и инфл'!M7/31.1035</f>
        <v>8333.2948500998245</v>
      </c>
      <c r="P187" s="238">
        <f>P193*P199*'цены и инфл'!N7/31.1035</f>
        <v>8499.9607471018226</v>
      </c>
      <c r="Q187" s="238">
        <f>Q193*Q199*'цены и инфл'!O7/31.1035</f>
        <v>4623.9786464233912</v>
      </c>
    </row>
    <row r="188" spans="2:17" x14ac:dyDescent="0.25">
      <c r="B188" s="239" t="s">
        <v>298</v>
      </c>
      <c r="C188" s="235"/>
      <c r="D188" s="167"/>
      <c r="E188" s="167"/>
      <c r="F188" s="238"/>
      <c r="G188" s="238"/>
      <c r="H188" s="238"/>
      <c r="I188" s="238"/>
      <c r="J188" s="238"/>
      <c r="K188" s="238"/>
      <c r="L188" s="238"/>
      <c r="M188" s="238"/>
      <c r="N188" s="238"/>
      <c r="O188" s="238"/>
      <c r="P188" s="238"/>
      <c r="Q188" s="238"/>
    </row>
    <row r="189" spans="2:17" x14ac:dyDescent="0.25">
      <c r="B189" s="169" t="s">
        <v>219</v>
      </c>
      <c r="C189" s="179" t="s">
        <v>231</v>
      </c>
      <c r="D189" s="183">
        <f>SUM(F189:Q189)</f>
        <v>315871.7668553582</v>
      </c>
      <c r="E189" s="183"/>
      <c r="F189" s="238">
        <f>F30</f>
        <v>24408.870901900063</v>
      </c>
      <c r="G189" s="238">
        <f t="shared" ref="G189:Q189" si="89">G30</f>
        <v>24445.275144483589</v>
      </c>
      <c r="H189" s="238">
        <f t="shared" si="89"/>
        <v>26325.680924828477</v>
      </c>
      <c r="I189" s="238">
        <f t="shared" si="89"/>
        <v>28206.086705173369</v>
      </c>
      <c r="J189" s="238">
        <f t="shared" si="89"/>
        <v>28206.086705173369</v>
      </c>
      <c r="K189" s="238">
        <f t="shared" si="89"/>
        <v>28206.086705173369</v>
      </c>
      <c r="L189" s="238">
        <f t="shared" si="89"/>
        <v>28206.086705173369</v>
      </c>
      <c r="M189" s="238">
        <f t="shared" si="89"/>
        <v>28206.086705173369</v>
      </c>
      <c r="N189" s="238">
        <f t="shared" si="89"/>
        <v>28206.086705173369</v>
      </c>
      <c r="O189" s="238">
        <f t="shared" si="89"/>
        <v>28206.086705173369</v>
      </c>
      <c r="P189" s="238">
        <f t="shared" si="89"/>
        <v>28206.086705173369</v>
      </c>
      <c r="Q189" s="238">
        <f t="shared" si="89"/>
        <v>15043.246242759131</v>
      </c>
    </row>
    <row r="190" spans="2:17" x14ac:dyDescent="0.25">
      <c r="B190" s="169" t="s">
        <v>220</v>
      </c>
      <c r="C190" s="179" t="s">
        <v>231</v>
      </c>
      <c r="D190" s="183">
        <f>SUM(F190:Q190)</f>
        <v>639405.20470890554</v>
      </c>
      <c r="E190" s="183"/>
      <c r="F190" s="238">
        <f t="shared" ref="F190:Q193" si="90">F31</f>
        <v>50918.08000643686</v>
      </c>
      <c r="G190" s="238">
        <f t="shared" si="90"/>
        <v>49356.984652465108</v>
      </c>
      <c r="H190" s="238">
        <f t="shared" si="90"/>
        <v>53153.67577957781</v>
      </c>
      <c r="I190" s="238">
        <f t="shared" si="90"/>
        <v>56950.366906690506</v>
      </c>
      <c r="J190" s="238">
        <f t="shared" si="90"/>
        <v>56950.366906690506</v>
      </c>
      <c r="K190" s="238">
        <f t="shared" si="90"/>
        <v>56950.366906690506</v>
      </c>
      <c r="L190" s="238">
        <f t="shared" si="90"/>
        <v>56950.366906690506</v>
      </c>
      <c r="M190" s="238">
        <f t="shared" si="90"/>
        <v>56950.366906690506</v>
      </c>
      <c r="N190" s="238">
        <f t="shared" si="90"/>
        <v>56950.366906690506</v>
      </c>
      <c r="O190" s="238">
        <f t="shared" si="90"/>
        <v>56950.366906690506</v>
      </c>
      <c r="P190" s="238">
        <f t="shared" si="90"/>
        <v>56950.366906690506</v>
      </c>
      <c r="Q190" s="238">
        <f t="shared" si="90"/>
        <v>30373.529016901604</v>
      </c>
    </row>
    <row r="191" spans="2:17" x14ac:dyDescent="0.25">
      <c r="B191" s="171" t="s">
        <v>221</v>
      </c>
      <c r="C191" s="179" t="s">
        <v>231</v>
      </c>
      <c r="D191" s="183">
        <f>SUM(F191:Q191)</f>
        <v>197278.94900492995</v>
      </c>
      <c r="E191" s="183"/>
      <c r="F191" s="238">
        <f t="shared" si="90"/>
        <v>15683.371162930196</v>
      </c>
      <c r="G191" s="238">
        <f t="shared" si="90"/>
        <v>15230.596851264492</v>
      </c>
      <c r="H191" s="238">
        <f t="shared" si="90"/>
        <v>16402.181224438686</v>
      </c>
      <c r="I191" s="238">
        <f t="shared" si="90"/>
        <v>17573.765597612877</v>
      </c>
      <c r="J191" s="238">
        <f t="shared" si="90"/>
        <v>17573.765597612877</v>
      </c>
      <c r="K191" s="238">
        <f t="shared" si="90"/>
        <v>17573.765597612877</v>
      </c>
      <c r="L191" s="238">
        <f t="shared" si="90"/>
        <v>17573.765597612877</v>
      </c>
      <c r="M191" s="238">
        <f t="shared" si="90"/>
        <v>17573.765597612877</v>
      </c>
      <c r="N191" s="238">
        <f t="shared" si="90"/>
        <v>17573.765597612877</v>
      </c>
      <c r="O191" s="238">
        <f t="shared" si="90"/>
        <v>17573.765597612877</v>
      </c>
      <c r="P191" s="238">
        <f t="shared" si="90"/>
        <v>17573.765597612877</v>
      </c>
      <c r="Q191" s="238">
        <f t="shared" si="90"/>
        <v>9372.6749853935344</v>
      </c>
    </row>
    <row r="192" spans="2:17" x14ac:dyDescent="0.25">
      <c r="B192" s="169" t="s">
        <v>222</v>
      </c>
      <c r="C192" s="179" t="s">
        <v>71</v>
      </c>
      <c r="D192" s="183">
        <f>SUM(F192:Q192)</f>
        <v>13284.397381254701</v>
      </c>
      <c r="E192" s="183"/>
      <c r="F192" s="238">
        <f t="shared" si="90"/>
        <v>1048.5732771030271</v>
      </c>
      <c r="G192" s="238">
        <f t="shared" si="90"/>
        <v>1026.2304087353018</v>
      </c>
      <c r="H192" s="238">
        <f t="shared" si="90"/>
        <v>1105.1712094072482</v>
      </c>
      <c r="I192" s="238">
        <f t="shared" si="90"/>
        <v>1184.1120100791945</v>
      </c>
      <c r="J192" s="238">
        <f t="shared" si="90"/>
        <v>1184.1120100791945</v>
      </c>
      <c r="K192" s="238">
        <f t="shared" si="90"/>
        <v>1184.1120100791945</v>
      </c>
      <c r="L192" s="238">
        <f t="shared" si="90"/>
        <v>1184.1120100791945</v>
      </c>
      <c r="M192" s="238">
        <f t="shared" si="90"/>
        <v>1184.1120100791945</v>
      </c>
      <c r="N192" s="238">
        <f t="shared" si="90"/>
        <v>1184.1120100791945</v>
      </c>
      <c r="O192" s="238">
        <f t="shared" si="90"/>
        <v>1184.1120100791945</v>
      </c>
      <c r="P192" s="238">
        <f t="shared" si="90"/>
        <v>1184.1120100791945</v>
      </c>
      <c r="Q192" s="238">
        <f t="shared" si="90"/>
        <v>631.52640537557033</v>
      </c>
    </row>
    <row r="193" spans="2:17" x14ac:dyDescent="0.25">
      <c r="B193" s="169" t="s">
        <v>224</v>
      </c>
      <c r="C193" s="240" t="s">
        <v>71</v>
      </c>
      <c r="D193" s="183">
        <f>SUM(F193:Q193)</f>
        <v>1515235.2526622911</v>
      </c>
      <c r="E193" s="183"/>
      <c r="F193" s="238">
        <f t="shared" si="90"/>
        <v>120203.24043550153</v>
      </c>
      <c r="G193" s="238">
        <f t="shared" si="90"/>
        <v>117002.68489644041</v>
      </c>
      <c r="H193" s="238">
        <f t="shared" si="90"/>
        <v>126002.89142693581</v>
      </c>
      <c r="I193" s="238">
        <f t="shared" si="90"/>
        <v>135003.09795743122</v>
      </c>
      <c r="J193" s="238">
        <f t="shared" si="90"/>
        <v>135003.09795743122</v>
      </c>
      <c r="K193" s="238">
        <f t="shared" si="90"/>
        <v>135003.09795743122</v>
      </c>
      <c r="L193" s="238">
        <f t="shared" si="90"/>
        <v>135003.09795743122</v>
      </c>
      <c r="M193" s="238">
        <f t="shared" si="90"/>
        <v>135003.09795743122</v>
      </c>
      <c r="N193" s="238">
        <f t="shared" si="90"/>
        <v>135003.09795743122</v>
      </c>
      <c r="O193" s="238">
        <f t="shared" si="90"/>
        <v>135003.09795743122</v>
      </c>
      <c r="P193" s="238">
        <f t="shared" si="90"/>
        <v>135003.09795743122</v>
      </c>
      <c r="Q193" s="238">
        <f t="shared" si="90"/>
        <v>72001.652243963312</v>
      </c>
    </row>
    <row r="194" spans="2:17" x14ac:dyDescent="0.25">
      <c r="B194" s="239" t="s">
        <v>299</v>
      </c>
      <c r="C194" s="237"/>
      <c r="D194" s="241"/>
      <c r="E194" s="241"/>
      <c r="F194" s="241"/>
      <c r="G194" s="241"/>
      <c r="H194" s="241"/>
      <c r="I194" s="241"/>
      <c r="J194" s="241"/>
      <c r="K194" s="241"/>
      <c r="L194" s="241"/>
      <c r="M194" s="241"/>
      <c r="N194" s="241"/>
      <c r="O194" s="241"/>
      <c r="P194" s="241"/>
      <c r="Q194" s="241"/>
    </row>
    <row r="195" spans="2:17" x14ac:dyDescent="0.25">
      <c r="B195" s="169" t="s">
        <v>219</v>
      </c>
      <c r="C195" s="237" t="s">
        <v>2</v>
      </c>
      <c r="D195" s="242">
        <f>'И. Д.'!H127</f>
        <v>8.5500000000000007E-2</v>
      </c>
      <c r="E195" s="242"/>
      <c r="F195" s="242">
        <f>D195</f>
        <v>8.5500000000000007E-2</v>
      </c>
      <c r="G195" s="242">
        <f>D195</f>
        <v>8.5500000000000007E-2</v>
      </c>
      <c r="H195" s="242">
        <f>G195</f>
        <v>8.5500000000000007E-2</v>
      </c>
      <c r="I195" s="242">
        <f t="shared" ref="I195:Q199" si="91">H195</f>
        <v>8.5500000000000007E-2</v>
      </c>
      <c r="J195" s="242">
        <f t="shared" si="91"/>
        <v>8.5500000000000007E-2</v>
      </c>
      <c r="K195" s="242">
        <f t="shared" si="91"/>
        <v>8.5500000000000007E-2</v>
      </c>
      <c r="L195" s="242">
        <f t="shared" si="91"/>
        <v>8.5500000000000007E-2</v>
      </c>
      <c r="M195" s="242">
        <f t="shared" si="91"/>
        <v>8.5500000000000007E-2</v>
      </c>
      <c r="N195" s="242">
        <f t="shared" si="91"/>
        <v>8.5500000000000007E-2</v>
      </c>
      <c r="O195" s="242">
        <f t="shared" si="91"/>
        <v>8.5500000000000007E-2</v>
      </c>
      <c r="P195" s="242">
        <f t="shared" si="91"/>
        <v>8.5500000000000007E-2</v>
      </c>
      <c r="Q195" s="242">
        <f t="shared" si="91"/>
        <v>8.5500000000000007E-2</v>
      </c>
    </row>
    <row r="196" spans="2:17" x14ac:dyDescent="0.25">
      <c r="B196" s="169" t="s">
        <v>220</v>
      </c>
      <c r="C196" s="237" t="s">
        <v>2</v>
      </c>
      <c r="D196" s="242">
        <f>'И. Д.'!H128</f>
        <v>0.105</v>
      </c>
      <c r="E196" s="242"/>
      <c r="F196" s="242">
        <f t="shared" ref="F196:F199" si="92">D196</f>
        <v>0.105</v>
      </c>
      <c r="G196" s="242">
        <f>D196</f>
        <v>0.105</v>
      </c>
      <c r="H196" s="242">
        <f>G196</f>
        <v>0.105</v>
      </c>
      <c r="I196" s="242">
        <f t="shared" si="91"/>
        <v>0.105</v>
      </c>
      <c r="J196" s="242">
        <f t="shared" si="91"/>
        <v>0.105</v>
      </c>
      <c r="K196" s="242">
        <f t="shared" si="91"/>
        <v>0.105</v>
      </c>
      <c r="L196" s="242">
        <f t="shared" si="91"/>
        <v>0.105</v>
      </c>
      <c r="M196" s="242">
        <f t="shared" si="91"/>
        <v>0.105</v>
      </c>
      <c r="N196" s="242">
        <f t="shared" si="91"/>
        <v>0.105</v>
      </c>
      <c r="O196" s="242">
        <f t="shared" si="91"/>
        <v>0.105</v>
      </c>
      <c r="P196" s="242">
        <f t="shared" si="91"/>
        <v>0.105</v>
      </c>
      <c r="Q196" s="242">
        <f t="shared" si="91"/>
        <v>0.105</v>
      </c>
    </row>
    <row r="197" spans="2:17" x14ac:dyDescent="0.25">
      <c r="B197" s="171" t="s">
        <v>221</v>
      </c>
      <c r="C197" s="237" t="s">
        <v>2</v>
      </c>
      <c r="D197" s="242">
        <f>'И. Д.'!H129</f>
        <v>0.104</v>
      </c>
      <c r="E197" s="242"/>
      <c r="F197" s="242">
        <f t="shared" si="92"/>
        <v>0.104</v>
      </c>
      <c r="G197" s="242">
        <f>D197</f>
        <v>0.104</v>
      </c>
      <c r="H197" s="242">
        <f t="shared" ref="H197:L199" si="93">G197</f>
        <v>0.104</v>
      </c>
      <c r="I197" s="242">
        <f t="shared" si="93"/>
        <v>0.104</v>
      </c>
      <c r="J197" s="242">
        <f t="shared" si="93"/>
        <v>0.104</v>
      </c>
      <c r="K197" s="242">
        <f t="shared" si="93"/>
        <v>0.104</v>
      </c>
      <c r="L197" s="242">
        <f t="shared" si="93"/>
        <v>0.104</v>
      </c>
      <c r="M197" s="242">
        <f t="shared" si="91"/>
        <v>0.104</v>
      </c>
      <c r="N197" s="242">
        <f t="shared" si="91"/>
        <v>0.104</v>
      </c>
      <c r="O197" s="242">
        <f t="shared" si="91"/>
        <v>0.104</v>
      </c>
      <c r="P197" s="242">
        <f t="shared" si="91"/>
        <v>0.104</v>
      </c>
      <c r="Q197" s="242">
        <f t="shared" si="91"/>
        <v>0.104</v>
      </c>
    </row>
    <row r="198" spans="2:17" x14ac:dyDescent="0.25">
      <c r="B198" s="169" t="s">
        <v>222</v>
      </c>
      <c r="C198" s="237" t="s">
        <v>2</v>
      </c>
      <c r="D198" s="242">
        <f>'И. Д.'!H125</f>
        <v>7.4999999999999997E-2</v>
      </c>
      <c r="E198" s="242"/>
      <c r="F198" s="242">
        <f t="shared" si="92"/>
        <v>7.4999999999999997E-2</v>
      </c>
      <c r="G198" s="242">
        <f>D198</f>
        <v>7.4999999999999997E-2</v>
      </c>
      <c r="H198" s="242">
        <f t="shared" si="93"/>
        <v>7.4999999999999997E-2</v>
      </c>
      <c r="I198" s="242">
        <f t="shared" si="93"/>
        <v>7.4999999999999997E-2</v>
      </c>
      <c r="J198" s="242">
        <f t="shared" si="93"/>
        <v>7.4999999999999997E-2</v>
      </c>
      <c r="K198" s="242">
        <f t="shared" si="93"/>
        <v>7.4999999999999997E-2</v>
      </c>
      <c r="L198" s="242">
        <f t="shared" si="93"/>
        <v>7.4999999999999997E-2</v>
      </c>
      <c r="M198" s="242">
        <f t="shared" si="91"/>
        <v>7.4999999999999997E-2</v>
      </c>
      <c r="N198" s="242">
        <f t="shared" si="91"/>
        <v>7.4999999999999997E-2</v>
      </c>
      <c r="O198" s="242">
        <f t="shared" si="91"/>
        <v>7.4999999999999997E-2</v>
      </c>
      <c r="P198" s="242">
        <f t="shared" si="91"/>
        <v>7.4999999999999997E-2</v>
      </c>
      <c r="Q198" s="242">
        <f t="shared" si="91"/>
        <v>7.4999999999999997E-2</v>
      </c>
    </row>
    <row r="199" spans="2:17" x14ac:dyDescent="0.25">
      <c r="B199" s="169" t="s">
        <v>224</v>
      </c>
      <c r="C199" s="237" t="s">
        <v>2</v>
      </c>
      <c r="D199" s="242">
        <f>'И. Д.'!H126</f>
        <v>7.4999999999999997E-2</v>
      </c>
      <c r="E199" s="242"/>
      <c r="F199" s="242">
        <f t="shared" si="92"/>
        <v>7.4999999999999997E-2</v>
      </c>
      <c r="G199" s="242">
        <f>D199</f>
        <v>7.4999999999999997E-2</v>
      </c>
      <c r="H199" s="242">
        <f t="shared" si="93"/>
        <v>7.4999999999999997E-2</v>
      </c>
      <c r="I199" s="242">
        <f t="shared" si="93"/>
        <v>7.4999999999999997E-2</v>
      </c>
      <c r="J199" s="242">
        <f t="shared" si="93"/>
        <v>7.4999999999999997E-2</v>
      </c>
      <c r="K199" s="242">
        <f t="shared" si="93"/>
        <v>7.4999999999999997E-2</v>
      </c>
      <c r="L199" s="242">
        <f t="shared" si="93"/>
        <v>7.4999999999999997E-2</v>
      </c>
      <c r="M199" s="242">
        <f t="shared" si="91"/>
        <v>7.4999999999999997E-2</v>
      </c>
      <c r="N199" s="242">
        <f t="shared" si="91"/>
        <v>7.4999999999999997E-2</v>
      </c>
      <c r="O199" s="242">
        <f t="shared" si="91"/>
        <v>7.4999999999999997E-2</v>
      </c>
      <c r="P199" s="242">
        <f t="shared" si="91"/>
        <v>7.4999999999999997E-2</v>
      </c>
      <c r="Q199" s="242">
        <f t="shared" si="91"/>
        <v>7.4999999999999997E-2</v>
      </c>
    </row>
    <row r="200" spans="2:17" x14ac:dyDescent="0.25">
      <c r="B200" s="666" t="s">
        <v>300</v>
      </c>
      <c r="C200" s="205" t="s">
        <v>271</v>
      </c>
      <c r="D200" s="165">
        <f>SUM(F200:Q200)</f>
        <v>3257.7472972269061</v>
      </c>
      <c r="E200" s="177"/>
      <c r="F200" s="234">
        <f>'И. Д.'!H123/'Инфл. тенге'!E16</f>
        <v>240.25016796293636</v>
      </c>
      <c r="G200" s="234">
        <f>F200*(1+'цены и инфл'!E29)</f>
        <v>242.17216930663986</v>
      </c>
      <c r="H200" s="234">
        <f>G200*(1+'цены и инфл'!F29)</f>
        <v>249.67950655514568</v>
      </c>
      <c r="I200" s="234">
        <f>H200*(1+'цены и инфл'!G29)</f>
        <v>258.91764829768607</v>
      </c>
      <c r="J200" s="234">
        <f>I200*(1+'цены и инфл'!H29)</f>
        <v>264.09600126363978</v>
      </c>
      <c r="K200" s="234">
        <f>J200*(1+'цены и инфл'!I29)</f>
        <v>269.3779212889126</v>
      </c>
      <c r="L200" s="234">
        <f>K200*(1+'цены и инфл'!J29)</f>
        <v>274.76547971469085</v>
      </c>
      <c r="M200" s="234">
        <f>L200*(1+'цены и инфл'!K29)</f>
        <v>280.26078930898467</v>
      </c>
      <c r="N200" s="234">
        <f>M200*(1+'цены и инфл'!L29)</f>
        <v>285.86600509516438</v>
      </c>
      <c r="O200" s="234">
        <f>N200*(1+'цены и инфл'!M29)</f>
        <v>291.58332519706767</v>
      </c>
      <c r="P200" s="234">
        <f>O200*(1+'цены и инфл'!N29)</f>
        <v>297.414991701009</v>
      </c>
      <c r="Q200" s="234">
        <f>P200*(1+'цены и инфл'!O29)</f>
        <v>303.36329153502919</v>
      </c>
    </row>
    <row r="201" spans="2:17" x14ac:dyDescent="0.25">
      <c r="B201" s="667"/>
      <c r="C201" s="564" t="s">
        <v>3</v>
      </c>
      <c r="D201" s="243">
        <f>AVERAGE(G201:L201)</f>
        <v>0.17934447041237175</v>
      </c>
      <c r="E201" s="243"/>
      <c r="F201" s="236">
        <f t="shared" ref="F201:Q201" si="94">F200/F22</f>
        <v>0.19220013437034908</v>
      </c>
      <c r="G201" s="236">
        <f t="shared" si="94"/>
        <v>0.18628628408203066</v>
      </c>
      <c r="H201" s="236">
        <f t="shared" si="94"/>
        <v>0.17834250468224691</v>
      </c>
      <c r="I201" s="236">
        <f t="shared" si="94"/>
        <v>0.17261176553179072</v>
      </c>
      <c r="J201" s="236">
        <f t="shared" si="94"/>
        <v>0.17606400084242652</v>
      </c>
      <c r="K201" s="236">
        <f t="shared" si="94"/>
        <v>0.17958528085927508</v>
      </c>
      <c r="L201" s="236">
        <f t="shared" si="94"/>
        <v>0.18317698647646058</v>
      </c>
      <c r="M201" s="236">
        <f t="shared" si="94"/>
        <v>0.18684052620598979</v>
      </c>
      <c r="N201" s="236">
        <f t="shared" si="94"/>
        <v>0.1905773367301096</v>
      </c>
      <c r="O201" s="236">
        <f t="shared" si="94"/>
        <v>0.19438888346471178</v>
      </c>
      <c r="P201" s="236">
        <f t="shared" si="94"/>
        <v>0.29741499170100899</v>
      </c>
      <c r="Q201" s="236">
        <f t="shared" si="94"/>
        <v>0.4993363184140272</v>
      </c>
    </row>
    <row r="202" spans="2:17" ht="13.8" x14ac:dyDescent="0.3">
      <c r="B202" s="565" t="str">
        <f>[2]Макро!A26</f>
        <v>Плата за пользование водными ресурсами</v>
      </c>
      <c r="C202" s="253" t="s">
        <v>271</v>
      </c>
      <c r="D202" s="165">
        <f>SUM(F202:Q202)</f>
        <v>11.48777233750458</v>
      </c>
      <c r="E202" s="177"/>
      <c r="F202" s="247">
        <f>'И. Д.'!H122/'Инфл. тенге'!E16</f>
        <v>0.84719254803919086</v>
      </c>
      <c r="G202" s="234">
        <f>F202*(1+'цены и инфл'!E29)</f>
        <v>0.85397008842350441</v>
      </c>
      <c r="H202" s="234">
        <f>G202*(1+'цены и инфл'!F29)</f>
        <v>0.88044316116463295</v>
      </c>
      <c r="I202" s="234">
        <f>H202*(1+'цены и инфл'!G29)</f>
        <v>0.91301955812772428</v>
      </c>
      <c r="J202" s="234">
        <f>I202*(1+'цены и инфл'!H29)</f>
        <v>0.9312799492902788</v>
      </c>
      <c r="K202" s="234">
        <f>J202*(1+'цены и инфл'!I29)</f>
        <v>0.94990554827608442</v>
      </c>
      <c r="L202" s="234">
        <f>K202*(1+'цены и инфл'!J29)</f>
        <v>0.96890365924160615</v>
      </c>
      <c r="M202" s="234">
        <f>L202*(1+'цены и инфл'!K29)</f>
        <v>0.98828173242643824</v>
      </c>
      <c r="N202" s="234">
        <f>M202*(1+'цены и инфл'!L29)</f>
        <v>1.008047367074967</v>
      </c>
      <c r="O202" s="234">
        <f>N202*(1+'цены и инфл'!M29)</f>
        <v>1.0282083144164664</v>
      </c>
      <c r="P202" s="234">
        <f>O202*(1+'цены и инфл'!N29)</f>
        <v>1.0487724807047958</v>
      </c>
      <c r="Q202" s="234">
        <f>P202*(1+'цены и инфл'!O29)</f>
        <v>1.0697479303188917</v>
      </c>
    </row>
    <row r="203" spans="2:17" ht="13.8" x14ac:dyDescent="0.25">
      <c r="B203" s="566" t="s">
        <v>80</v>
      </c>
      <c r="C203" s="205" t="s">
        <v>271</v>
      </c>
      <c r="D203" s="165">
        <f>SUM(F203:Q203)</f>
        <v>256.49263170142308</v>
      </c>
      <c r="E203" s="177"/>
      <c r="F203" s="234">
        <f>'И. Д.'!H116/'Инфл. тенге'!E16</f>
        <v>18.915646987099752</v>
      </c>
      <c r="G203" s="234">
        <f>F203*(1+'цены и инфл'!E29)</f>
        <v>19.066972162996549</v>
      </c>
      <c r="H203" s="234">
        <f>G203*(1+'цены и инфл'!F29)</f>
        <v>19.65804830004944</v>
      </c>
      <c r="I203" s="234">
        <f>H203*(1+'цены и инфл'!G29)</f>
        <v>20.385396087151268</v>
      </c>
      <c r="J203" s="234">
        <f>I203*(1+'цены и инфл'!H29)</f>
        <v>20.793104008894293</v>
      </c>
      <c r="K203" s="234">
        <f>J203*(1+'цены и инфл'!I29)</f>
        <v>21.208966089072177</v>
      </c>
      <c r="L203" s="234">
        <f>K203*(1+'цены и инфл'!J29)</f>
        <v>21.633145410853622</v>
      </c>
      <c r="M203" s="234">
        <f>L203*(1+'цены и инфл'!K29)</f>
        <v>22.065808319070694</v>
      </c>
      <c r="N203" s="234">
        <f>M203*(1+'цены и инфл'!L29)</f>
        <v>22.50712448545211</v>
      </c>
      <c r="O203" s="234">
        <f>N203*(1+'цены и инфл'!M29)</f>
        <v>22.957266975161151</v>
      </c>
      <c r="P203" s="234">
        <f>O203*(1+'цены и инфл'!N29)</f>
        <v>23.416412314664374</v>
      </c>
      <c r="Q203" s="234">
        <f>P203*(1+'цены и инфл'!O29)</f>
        <v>23.884740560957663</v>
      </c>
    </row>
    <row r="204" spans="2:17" ht="13.8" x14ac:dyDescent="0.25">
      <c r="B204" s="567" t="s">
        <v>163</v>
      </c>
      <c r="C204" s="205" t="s">
        <v>271</v>
      </c>
      <c r="D204" s="165">
        <f>SUM(F204:Q204)</f>
        <v>130.8239681166888</v>
      </c>
      <c r="E204" s="177"/>
      <c r="F204" s="234">
        <f>'И. Д.'!H121/'Инфл. тенге'!E16</f>
        <v>9.647918468190241</v>
      </c>
      <c r="G204" s="234">
        <f>F204*(1+'цены и инфл'!E29)</f>
        <v>9.7251018159357638</v>
      </c>
      <c r="H204" s="234">
        <f>G204*(1+'цены и инфл'!F29)</f>
        <v>10.026579972229772</v>
      </c>
      <c r="I204" s="234">
        <f>H204*(1+'цены и инфл'!G29)</f>
        <v>10.397563431202274</v>
      </c>
      <c r="J204" s="234">
        <f>I204*(1+'цены и инфл'!H29)</f>
        <v>10.605514699826319</v>
      </c>
      <c r="K204" s="234">
        <f>J204*(1+'цены и инфл'!I29)</f>
        <v>10.817624993822845</v>
      </c>
      <c r="L204" s="234">
        <f>K204*(1+'цены и инфл'!J29)</f>
        <v>11.033977493699302</v>
      </c>
      <c r="M204" s="234">
        <f>L204*(1+'цены и инфл'!K29)</f>
        <v>11.254657043573289</v>
      </c>
      <c r="N204" s="234">
        <f>M204*(1+'цены и инфл'!L29)</f>
        <v>11.479750184444756</v>
      </c>
      <c r="O204" s="234">
        <f>N204*(1+'цены и инфл'!M29)</f>
        <v>11.709345188133652</v>
      </c>
      <c r="P204" s="234">
        <f>O204*(1+'цены и инфл'!N29)</f>
        <v>11.943532091896325</v>
      </c>
      <c r="Q204" s="234">
        <f>P204*(1+'цены и инфл'!O29)</f>
        <v>12.182402733734252</v>
      </c>
    </row>
    <row r="205" spans="2:17" ht="13.8" x14ac:dyDescent="0.25">
      <c r="B205" s="567" t="s">
        <v>84</v>
      </c>
      <c r="C205" s="205" t="s">
        <v>271</v>
      </c>
      <c r="D205" s="165">
        <f>SUM(F205:Q205)</f>
        <v>12.280431738787613</v>
      </c>
      <c r="E205" s="177"/>
      <c r="F205" s="234">
        <f>'И. Д.'!H120/'Инфл. тенге'!E16</f>
        <v>0.90564906320774141</v>
      </c>
      <c r="G205" s="234">
        <f>F205*(1+'цены и инфл'!E29)</f>
        <v>0.91289425571340332</v>
      </c>
      <c r="H205" s="234">
        <f>G205*(1+'цены и инфл'!F29)</f>
        <v>0.94119397764051871</v>
      </c>
      <c r="I205" s="234">
        <f>H205*(1+'цены и инфл'!G29)</f>
        <v>0.97601815481321785</v>
      </c>
      <c r="J205" s="234">
        <f>I205*(1+'цены и инфл'!H29)</f>
        <v>0.99553851790948222</v>
      </c>
      <c r="K205" s="234">
        <f>J205*(1+'цены и инфл'!I29)</f>
        <v>1.0154492882676718</v>
      </c>
      <c r="L205" s="234">
        <f>K205*(1+'цены и инфл'!J29)</f>
        <v>1.0357582740330253</v>
      </c>
      <c r="M205" s="234">
        <f>L205*(1+'цены и инфл'!K29)</f>
        <v>1.0564734395136859</v>
      </c>
      <c r="N205" s="234">
        <f>M205*(1+'цены и инфл'!L29)</f>
        <v>1.0776029083039596</v>
      </c>
      <c r="O205" s="234">
        <f>N205*(1+'цены и инфл'!M29)</f>
        <v>1.0991549664700389</v>
      </c>
      <c r="P205" s="234">
        <f>O205*(1+'цены и инфл'!N29)</f>
        <v>1.1211380657994396</v>
      </c>
      <c r="Q205" s="234">
        <f>P205*(1+'цены и инфл'!O29)</f>
        <v>1.1435608271154285</v>
      </c>
    </row>
    <row r="206" spans="2:17" x14ac:dyDescent="0.25">
      <c r="B206" s="668" t="s">
        <v>301</v>
      </c>
      <c r="C206" s="205" t="s">
        <v>271</v>
      </c>
      <c r="D206" s="165">
        <f>SUM(F206:Q206)</f>
        <v>11686.344275015528</v>
      </c>
      <c r="E206" s="177"/>
      <c r="F206" s="234">
        <f>F208+F209+F210</f>
        <v>1618.1539825428572</v>
      </c>
      <c r="G206" s="234">
        <f>G208+G209+G210</f>
        <v>1457.6065011157268</v>
      </c>
      <c r="H206" s="234">
        <f t="shared" ref="H206:Q206" si="95">H208+H209+H210</f>
        <v>1313.3960906448219</v>
      </c>
      <c r="I206" s="234">
        <f t="shared" si="95"/>
        <v>1183.7279830958003</v>
      </c>
      <c r="J206" s="234">
        <f t="shared" si="95"/>
        <v>1066.8734449948627</v>
      </c>
      <c r="K206" s="234">
        <f t="shared" si="95"/>
        <v>961.73472590819154</v>
      </c>
      <c r="L206" s="234">
        <f t="shared" si="95"/>
        <v>867.14085123844359</v>
      </c>
      <c r="M206" s="234">
        <f t="shared" si="95"/>
        <v>782.03795599409182</v>
      </c>
      <c r="N206" s="234">
        <f t="shared" si="95"/>
        <v>705.47757407176539</v>
      </c>
      <c r="O206" s="234">
        <f t="shared" si="95"/>
        <v>636.60609861521289</v>
      </c>
      <c r="P206" s="234">
        <f t="shared" si="95"/>
        <v>574.65529634332825</v>
      </c>
      <c r="Q206" s="234">
        <f t="shared" si="95"/>
        <v>518.93377045042496</v>
      </c>
    </row>
    <row r="207" spans="2:17" x14ac:dyDescent="0.25">
      <c r="B207" s="669"/>
      <c r="C207" s="564" t="s">
        <v>3</v>
      </c>
      <c r="D207" s="172">
        <f>AVERAGE(F207:Q207)</f>
        <v>0.74320435904395821</v>
      </c>
      <c r="E207" s="243"/>
      <c r="F207" s="236">
        <f t="shared" ref="F207:Q207" si="96">F206/F22</f>
        <v>1.2945231860342858</v>
      </c>
      <c r="G207" s="236">
        <f t="shared" si="96"/>
        <v>1.1212357700890205</v>
      </c>
      <c r="H207" s="236">
        <f t="shared" si="96"/>
        <v>0.93814006474630141</v>
      </c>
      <c r="I207" s="236">
        <f t="shared" si="96"/>
        <v>0.78915198873053349</v>
      </c>
      <c r="J207" s="236">
        <f t="shared" si="96"/>
        <v>0.71124896332990839</v>
      </c>
      <c r="K207" s="236">
        <f t="shared" si="96"/>
        <v>0.64115648393879432</v>
      </c>
      <c r="L207" s="236">
        <f t="shared" si="96"/>
        <v>0.57809390082562906</v>
      </c>
      <c r="M207" s="236">
        <f t="shared" si="96"/>
        <v>0.52135863732939458</v>
      </c>
      <c r="N207" s="236">
        <f t="shared" si="96"/>
        <v>0.47031838271451026</v>
      </c>
      <c r="O207" s="236">
        <f t="shared" si="96"/>
        <v>0.42440406574347528</v>
      </c>
      <c r="P207" s="236">
        <f t="shared" si="96"/>
        <v>0.57465529634332824</v>
      </c>
      <c r="Q207" s="236">
        <f t="shared" si="96"/>
        <v>0.8541655687023173</v>
      </c>
    </row>
    <row r="208" spans="2:17" x14ac:dyDescent="0.25">
      <c r="B208" s="248" t="s">
        <v>302</v>
      </c>
      <c r="C208" s="237" t="s">
        <v>271</v>
      </c>
      <c r="D208" s="183">
        <f>SUM(F208:Q208)</f>
        <v>154.38320079351439</v>
      </c>
      <c r="E208" s="167"/>
      <c r="F208" s="241">
        <f>'И. Д.'!H118/'Инфл. тенге'!E16</f>
        <v>11.385348996489141</v>
      </c>
      <c r="G208" s="241">
        <f>F208*(1+'цены и инфл'!E29)</f>
        <v>11.476431788461054</v>
      </c>
      <c r="H208" s="241">
        <f>G208*(1+'цены и инфл'!F29)</f>
        <v>11.832201173903346</v>
      </c>
      <c r="I208" s="241">
        <f>H208*(1+'цены и инфл'!G29)</f>
        <v>12.269992617337769</v>
      </c>
      <c r="J208" s="241">
        <f>I208*(1+'цены и инфл'!H29)</f>
        <v>12.515392469684524</v>
      </c>
      <c r="K208" s="241">
        <f>J208*(1+'цены и инфл'!I29)</f>
        <v>12.765700319078215</v>
      </c>
      <c r="L208" s="241">
        <f>K208*(1+'цены и инфл'!J29)</f>
        <v>13.021014325459779</v>
      </c>
      <c r="M208" s="241">
        <f>L208*(1+'цены и инфл'!K29)</f>
        <v>13.281434611968976</v>
      </c>
      <c r="N208" s="241">
        <f>M208*(1+'цены и инфл'!L29)</f>
        <v>13.547063304208356</v>
      </c>
      <c r="O208" s="241">
        <f>N208*(1+'цены и инфл'!M29)</f>
        <v>13.818004570292523</v>
      </c>
      <c r="P208" s="241">
        <f>O208*(1+'цены и инфл'!N29)</f>
        <v>14.094364661698373</v>
      </c>
      <c r="Q208" s="241">
        <f>P208*(1+'цены и инфл'!O29)</f>
        <v>14.376251954932341</v>
      </c>
    </row>
    <row r="209" spans="1:17" x14ac:dyDescent="0.25">
      <c r="B209" s="248" t="s">
        <v>303</v>
      </c>
      <c r="C209" s="237" t="s">
        <v>271</v>
      </c>
      <c r="D209" s="183">
        <f>SUM(F209:Q209)</f>
        <v>11527.152471376081</v>
      </c>
      <c r="E209" s="167"/>
      <c r="F209" s="241">
        <f>'Аморт ОС'!E59</f>
        <v>1606.4140119210549</v>
      </c>
      <c r="G209" s="241">
        <f>'Аморт ОС'!F59</f>
        <v>1445.77261072895</v>
      </c>
      <c r="H209" s="241">
        <f>'Аморт ОС'!G59</f>
        <v>1301.195349656055</v>
      </c>
      <c r="I209" s="241">
        <f>'Аморт ОС'!H59</f>
        <v>1171.0758146904489</v>
      </c>
      <c r="J209" s="241">
        <f>'Аморт ОС'!I59</f>
        <v>1053.9682332214043</v>
      </c>
      <c r="K209" s="241">
        <f>'Аморт ОС'!J59</f>
        <v>948.57140989926404</v>
      </c>
      <c r="L209" s="241">
        <f>'Аморт ОС'!K59</f>
        <v>853.71426890933753</v>
      </c>
      <c r="M209" s="241">
        <f>'Аморт ОС'!L59</f>
        <v>768.34284201840364</v>
      </c>
      <c r="N209" s="241">
        <f>'Аморт ОС'!M59</f>
        <v>691.50855781656344</v>
      </c>
      <c r="O209" s="241">
        <f>'Аморт ОС'!N59</f>
        <v>622.35770203490688</v>
      </c>
      <c r="P209" s="241">
        <f>'Аморт ОС'!O59</f>
        <v>560.12193183141608</v>
      </c>
      <c r="Q209" s="241">
        <f>'Аморт ОС'!P59</f>
        <v>504.10973864827457</v>
      </c>
    </row>
    <row r="210" spans="1:17" x14ac:dyDescent="0.25">
      <c r="B210" s="244" t="s">
        <v>304</v>
      </c>
      <c r="C210" s="237" t="s">
        <v>271</v>
      </c>
      <c r="D210" s="183">
        <f>SUM(F210:Q210)</f>
        <v>4.8086028459339945</v>
      </c>
      <c r="E210" s="180"/>
      <c r="F210" s="249">
        <f>'И. Д.'!G117/'Инфл. тенге'!E16</f>
        <v>0.3546216253133247</v>
      </c>
      <c r="G210" s="241">
        <f>F210*(1+'цены и инфл'!E29)</f>
        <v>0.35745859831583132</v>
      </c>
      <c r="H210" s="241">
        <f>G210*(1+'цены и инфл'!F29)</f>
        <v>0.36853981486362208</v>
      </c>
      <c r="I210" s="241">
        <f>H210*(1+'цены и инфл'!G29)</f>
        <v>0.38217578801357605</v>
      </c>
      <c r="J210" s="241">
        <f>I210*(1+'цены и инфл'!H29)</f>
        <v>0.38981930377384755</v>
      </c>
      <c r="K210" s="241">
        <f>J210*(1+'цены и инфл'!I29)</f>
        <v>0.39761568984932449</v>
      </c>
      <c r="L210" s="241">
        <f>K210*(1+'цены и инфл'!J29)</f>
        <v>0.40556800364631101</v>
      </c>
      <c r="M210" s="241">
        <f>L210*(1+'цены и инфл'!K29)</f>
        <v>0.41367936371923725</v>
      </c>
      <c r="N210" s="241">
        <f>M210*(1+'цены и инфл'!L29)</f>
        <v>0.42195295099362201</v>
      </c>
      <c r="O210" s="241">
        <f>N210*(1+'цены и инфл'!M29)</f>
        <v>0.43039201001349447</v>
      </c>
      <c r="P210" s="241">
        <f>O210*(1+'цены и инфл'!N29)</f>
        <v>0.43899985021376436</v>
      </c>
      <c r="Q210" s="241">
        <f>P210*(1+'цены и инфл'!O29)</f>
        <v>0.44777984721803965</v>
      </c>
    </row>
    <row r="211" spans="1:17" x14ac:dyDescent="0.25">
      <c r="B211" s="653" t="s">
        <v>305</v>
      </c>
      <c r="C211" s="563" t="s">
        <v>271</v>
      </c>
      <c r="D211" s="165">
        <f>SUM(F211:Q211)</f>
        <v>46082.501905154219</v>
      </c>
      <c r="E211" s="177"/>
      <c r="F211" s="234">
        <f>F213+F215+F216+F217</f>
        <v>3423.8092042209846</v>
      </c>
      <c r="G211" s="234">
        <f>G213+G215+G216+G217</f>
        <v>3470.6907890548246</v>
      </c>
      <c r="H211" s="234">
        <f t="shared" ref="H211:Q211" si="97">H213+H215+H216+H217</f>
        <v>3725.9486393368229</v>
      </c>
      <c r="I211" s="234">
        <f t="shared" si="97"/>
        <v>3867.5413624333714</v>
      </c>
      <c r="J211" s="234">
        <f t="shared" si="97"/>
        <v>3942.0712202835612</v>
      </c>
      <c r="K211" s="234">
        <f t="shared" si="97"/>
        <v>4018.806249295983</v>
      </c>
      <c r="L211" s="234">
        <f t="shared" si="97"/>
        <v>4097.1350672869894</v>
      </c>
      <c r="M211" s="234">
        <f t="shared" si="97"/>
        <v>4177.0883914401084</v>
      </c>
      <c r="N211" s="234">
        <f t="shared" si="97"/>
        <v>4258.6975760001042</v>
      </c>
      <c r="O211" s="234">
        <f t="shared" si="97"/>
        <v>4341.9946245687652</v>
      </c>
      <c r="P211" s="234">
        <f t="shared" si="97"/>
        <v>4350.8465695757413</v>
      </c>
      <c r="Q211" s="234">
        <f t="shared" si="97"/>
        <v>2407.8722116569597</v>
      </c>
    </row>
    <row r="212" spans="1:17" x14ac:dyDescent="0.25">
      <c r="B212" s="654"/>
      <c r="C212" s="564" t="s">
        <v>3</v>
      </c>
      <c r="D212" s="236">
        <f>D211/D22</f>
        <v>2.8698369734101883</v>
      </c>
      <c r="E212" s="236"/>
      <c r="F212" s="236">
        <f t="shared" ref="F212:Q212" si="98">F211/F22</f>
        <v>2.7390473633767876</v>
      </c>
      <c r="G212" s="236">
        <f t="shared" si="98"/>
        <v>2.6697621454267879</v>
      </c>
      <c r="H212" s="236">
        <f t="shared" si="98"/>
        <v>2.661391885240588</v>
      </c>
      <c r="I212" s="236">
        <f t="shared" si="98"/>
        <v>2.5783609082889143</v>
      </c>
      <c r="J212" s="236">
        <f t="shared" si="98"/>
        <v>2.6280474801890406</v>
      </c>
      <c r="K212" s="236">
        <f t="shared" si="98"/>
        <v>2.679204166197322</v>
      </c>
      <c r="L212" s="236">
        <f t="shared" si="98"/>
        <v>2.7314233781913262</v>
      </c>
      <c r="M212" s="236">
        <f t="shared" si="98"/>
        <v>2.7847255942934055</v>
      </c>
      <c r="N212" s="236">
        <f t="shared" si="98"/>
        <v>2.839131717333403</v>
      </c>
      <c r="O212" s="236">
        <f t="shared" si="98"/>
        <v>2.8946630830458435</v>
      </c>
      <c r="P212" s="236">
        <f t="shared" si="98"/>
        <v>4.350846569575741</v>
      </c>
      <c r="Q212" s="236">
        <f t="shared" si="98"/>
        <v>3.9633603633991235</v>
      </c>
    </row>
    <row r="213" spans="1:17" x14ac:dyDescent="0.25">
      <c r="B213" s="168" t="s">
        <v>306</v>
      </c>
      <c r="C213" s="237" t="s">
        <v>271</v>
      </c>
      <c r="D213" s="183">
        <f>SUM(F213:Q213)</f>
        <v>888.35479063912067</v>
      </c>
      <c r="E213" s="167"/>
      <c r="F213" s="212">
        <f>'И. Д.'!$H$115/F214</f>
        <v>82.355363393040975</v>
      </c>
      <c r="G213" s="212">
        <f>'И. Д.'!$H$115/G214</f>
        <v>80.740552346118605</v>
      </c>
      <c r="H213" s="212">
        <f>'И. Д.'!$H$115/H214</f>
        <v>79.157404260900591</v>
      </c>
      <c r="I213" s="212">
        <f>'И. Д.'!$H$115/I214</f>
        <v>77.60529829500058</v>
      </c>
      <c r="J213" s="212">
        <f>'И. Д.'!$H$115/J214</f>
        <v>76.083625779412316</v>
      </c>
      <c r="K213" s="212">
        <f>'И. Д.'!$H$115/K214</f>
        <v>74.591789979815999</v>
      </c>
      <c r="L213" s="212">
        <f>'И. Д.'!$H$115/L214</f>
        <v>73.129205862564689</v>
      </c>
      <c r="M213" s="212">
        <f>'И. Д.'!$H$115/M214</f>
        <v>71.6952998652595</v>
      </c>
      <c r="N213" s="212">
        <f>'И. Д.'!$H$115/N214</f>
        <v>70.289509671823041</v>
      </c>
      <c r="O213" s="212">
        <f>'И. Д.'!$H$115/O214</f>
        <v>68.911283991983368</v>
      </c>
      <c r="P213" s="212">
        <f>'И. Д.'!$H$115/P214</f>
        <v>67.560082345081724</v>
      </c>
      <c r="Q213" s="212">
        <f>'И. Д.'!$H$115/Q214</f>
        <v>66.235374848119335</v>
      </c>
    </row>
    <row r="214" spans="1:17" ht="13.8" x14ac:dyDescent="0.3">
      <c r="B214" s="335" t="s">
        <v>401</v>
      </c>
      <c r="C214" s="336" t="s">
        <v>402</v>
      </c>
      <c r="D214" s="337">
        <f>AVERAGE(F214:Q214)</f>
        <v>542.8543317459513</v>
      </c>
      <c r="E214" s="167"/>
      <c r="F214" s="338">
        <f>'Инфл. тенге'!E16</f>
        <v>485.7</v>
      </c>
      <c r="G214" s="338">
        <f>F214*(1+'цены и инфл'!E27)</f>
        <v>495.41399999999999</v>
      </c>
      <c r="H214" s="338">
        <f>G214*(1+'цены и инфл'!F27)</f>
        <v>505.32227999999998</v>
      </c>
      <c r="I214" s="338">
        <f>H214*(1+'цены и инфл'!G27)</f>
        <v>515.42872560000001</v>
      </c>
      <c r="J214" s="338">
        <f>I214*(1+'цены и инфл'!H27)</f>
        <v>525.73730011200007</v>
      </c>
      <c r="K214" s="338">
        <f>J214*(1+'цены и инфл'!I27)</f>
        <v>536.2520461142401</v>
      </c>
      <c r="L214" s="338">
        <f>K214*(1+'цены и инфл'!J27)</f>
        <v>546.97708703652495</v>
      </c>
      <c r="M214" s="338">
        <f>L214*(1+'цены и инфл'!K27)</f>
        <v>557.91662877725548</v>
      </c>
      <c r="N214" s="338">
        <f>M214*(1+'цены и инфл'!L27)</f>
        <v>569.07496135280064</v>
      </c>
      <c r="O214" s="338">
        <f>N214*(1+'цены и инфл'!M27)</f>
        <v>580.45646057985664</v>
      </c>
      <c r="P214" s="338">
        <f>O214*(1+'цены и инфл'!N27)</f>
        <v>592.06558979145382</v>
      </c>
      <c r="Q214" s="338">
        <f>P214*(1+'цены и инфл'!O27)</f>
        <v>603.90690158728296</v>
      </c>
    </row>
    <row r="215" spans="1:17" x14ac:dyDescent="0.25">
      <c r="B215" s="168" t="s">
        <v>307</v>
      </c>
      <c r="C215" s="237" t="s">
        <v>271</v>
      </c>
      <c r="D215" s="183">
        <f>SUM(F215:Q215)</f>
        <v>1109.8281222138291</v>
      </c>
      <c r="E215" s="167"/>
      <c r="F215" s="212">
        <f>'И. Д.'!$G$113*F125</f>
        <v>76.907715864116099</v>
      </c>
      <c r="G215" s="212">
        <f>'И. Д.'!$G$113*G125</f>
        <v>80.623896694670194</v>
      </c>
      <c r="H215" s="212">
        <f>'И. Д.'!$G$113*H125</f>
        <v>89.517332683913054</v>
      </c>
      <c r="I215" s="212">
        <f>'И. Д.'!$G$113*I125</f>
        <v>99.460150707019068</v>
      </c>
      <c r="J215" s="212">
        <f>'И. Д.'!$G$113*J125</f>
        <v>101.44935372115945</v>
      </c>
      <c r="K215" s="212">
        <f>'И. Д.'!$G$113*K125</f>
        <v>103.47834079558265</v>
      </c>
      <c r="L215" s="212">
        <f>'И. Д.'!$G$113*L125</f>
        <v>105.54790761149431</v>
      </c>
      <c r="M215" s="212">
        <f>'И. Д.'!$G$113*M125</f>
        <v>107.65886576372421</v>
      </c>
      <c r="N215" s="212">
        <f>'И. Д.'!$G$113*N125</f>
        <v>109.81204307899867</v>
      </c>
      <c r="O215" s="212">
        <f>'И. Д.'!$G$113*O125</f>
        <v>112.00828394057865</v>
      </c>
      <c r="P215" s="212">
        <f>'И. Д.'!$G$113*P125</f>
        <v>76.165633079593476</v>
      </c>
      <c r="Q215" s="212">
        <f>'И. Д.'!$G$113*Q125</f>
        <v>47.198598272979567</v>
      </c>
    </row>
    <row r="216" spans="1:17" x14ac:dyDescent="0.25">
      <c r="B216" s="168" t="s">
        <v>308</v>
      </c>
      <c r="C216" s="237" t="s">
        <v>271</v>
      </c>
      <c r="D216" s="183">
        <f>SUM(F216:Q216)</f>
        <v>1109.8281222138291</v>
      </c>
      <c r="E216" s="167"/>
      <c r="F216" s="212">
        <f>'И. Д.'!$G$112*F125</f>
        <v>76.907715864116099</v>
      </c>
      <c r="G216" s="212">
        <f>'И. Д.'!$G$112*G125</f>
        <v>80.623896694670194</v>
      </c>
      <c r="H216" s="212">
        <f>'И. Д.'!$G$112*H125</f>
        <v>89.517332683913054</v>
      </c>
      <c r="I216" s="212">
        <f>'И. Д.'!$G$112*I125</f>
        <v>99.460150707019068</v>
      </c>
      <c r="J216" s="212">
        <f>'И. Д.'!$G$112*J125</f>
        <v>101.44935372115945</v>
      </c>
      <c r="K216" s="212">
        <f>'И. Д.'!$G$112*K125</f>
        <v>103.47834079558265</v>
      </c>
      <c r="L216" s="212">
        <f>'И. Д.'!$G$112*L125</f>
        <v>105.54790761149431</v>
      </c>
      <c r="M216" s="212">
        <f>'И. Д.'!$G$112*M125</f>
        <v>107.65886576372421</v>
      </c>
      <c r="N216" s="212">
        <f>'И. Д.'!$G$112*N125</f>
        <v>109.81204307899867</v>
      </c>
      <c r="O216" s="212">
        <f>'И. Д.'!$G$112*O125</f>
        <v>112.00828394057865</v>
      </c>
      <c r="P216" s="212">
        <f>'И. Д.'!$G$112*P125</f>
        <v>76.165633079593476</v>
      </c>
      <c r="Q216" s="212">
        <f>'И. Д.'!$G$112*Q125</f>
        <v>47.198598272979567</v>
      </c>
    </row>
    <row r="217" spans="1:17" x14ac:dyDescent="0.25">
      <c r="B217" s="168" t="s">
        <v>309</v>
      </c>
      <c r="C217" s="237" t="s">
        <v>271</v>
      </c>
      <c r="D217" s="183">
        <f>SUM(F217:Q217)</f>
        <v>42974.490870087437</v>
      </c>
      <c r="E217" s="167"/>
      <c r="F217" s="212">
        <f>'И. Д.'!$H$114*F110</f>
        <v>3187.6384090997117</v>
      </c>
      <c r="G217" s="212">
        <f>'И. Д.'!$H$114*G110</f>
        <v>3228.7024433193656</v>
      </c>
      <c r="H217" s="212">
        <f>'И. Д.'!$H$114*H110</f>
        <v>3467.7565697080963</v>
      </c>
      <c r="I217" s="212">
        <f>'И. Д.'!$H$114*I110</f>
        <v>3591.0157627243329</v>
      </c>
      <c r="J217" s="212">
        <f>'И. Д.'!$H$114*J110</f>
        <v>3663.0888870618301</v>
      </c>
      <c r="K217" s="212">
        <f>'И. Д.'!$H$114*K110</f>
        <v>3737.2577777250017</v>
      </c>
      <c r="L217" s="212">
        <f>'И. Д.'!$H$114*L110</f>
        <v>3812.9100462014362</v>
      </c>
      <c r="M217" s="212">
        <f>'И. Д.'!$H$114*M110</f>
        <v>3890.0753600474004</v>
      </c>
      <c r="N217" s="212">
        <f>'И. Д.'!$H$114*N110</f>
        <v>3968.7839801702835</v>
      </c>
      <c r="O217" s="212">
        <f>'И. Д.'!$H$114*O110</f>
        <v>4049.0667726956244</v>
      </c>
      <c r="P217" s="212">
        <f>'И. Д.'!$H$114*P110</f>
        <v>4130.9552210714728</v>
      </c>
      <c r="Q217" s="212">
        <f>'И. Д.'!$H$114*Q110</f>
        <v>2247.2396402628815</v>
      </c>
    </row>
    <row r="218" spans="1:17" x14ac:dyDescent="0.25">
      <c r="B218" s="568" t="s">
        <v>310</v>
      </c>
      <c r="C218" s="237" t="s">
        <v>271</v>
      </c>
      <c r="D218" s="165">
        <f>SUM(F218:Q218)</f>
        <v>189850.01672753799</v>
      </c>
      <c r="E218" s="177"/>
      <c r="F218" s="165">
        <f>F219+F220+F221</f>
        <v>22928.406175624699</v>
      </c>
      <c r="G218" s="165">
        <f t="shared" ref="G218:Q218" si="99">G219+G220+G221</f>
        <v>20207.013616210865</v>
      </c>
      <c r="H218" s="165">
        <f t="shared" si="99"/>
        <v>17767.273754217724</v>
      </c>
      <c r="I218" s="165">
        <f t="shared" si="99"/>
        <v>15921.426962655914</v>
      </c>
      <c r="J218" s="165">
        <f t="shared" si="99"/>
        <v>13873.208948525236</v>
      </c>
      <c r="K218" s="165">
        <f t="shared" si="99"/>
        <v>12415.233825122323</v>
      </c>
      <c r="L218" s="165">
        <f t="shared" si="99"/>
        <v>10950.615857606423</v>
      </c>
      <c r="M218" s="165">
        <f t="shared" si="99"/>
        <v>10077.327751954281</v>
      </c>
      <c r="N218" s="165">
        <f t="shared" si="99"/>
        <v>9182.2500968517888</v>
      </c>
      <c r="O218" s="165">
        <f t="shared" si="99"/>
        <v>8385.5304645431061</v>
      </c>
      <c r="P218" s="165">
        <f t="shared" si="99"/>
        <v>6812.1205364031084</v>
      </c>
      <c r="Q218" s="165">
        <f t="shared" si="99"/>
        <v>41329.608737822506</v>
      </c>
    </row>
    <row r="219" spans="1:17" x14ac:dyDescent="0.25">
      <c r="A219" s="250"/>
      <c r="B219" s="569" t="s">
        <v>311</v>
      </c>
      <c r="C219" s="237" t="s">
        <v>271</v>
      </c>
      <c r="D219" s="183">
        <f>'Аморт ОС'!C38</f>
        <v>156687.54734613191</v>
      </c>
      <c r="E219" s="167"/>
      <c r="F219" s="183">
        <f>'Аморт ОС'!E38</f>
        <v>21386.685796836511</v>
      </c>
      <c r="G219" s="183">
        <f>'Аморт ОС'!F38</f>
        <v>17844.266813533693</v>
      </c>
      <c r="H219" s="183">
        <f>'Аморт ОС'!G38</f>
        <v>15008.581464518153</v>
      </c>
      <c r="I219" s="183">
        <f>'Аморт ОС'!H38</f>
        <v>12718.434736376999</v>
      </c>
      <c r="J219" s="183">
        <f>'Аморт ОС'!I38</f>
        <v>10852.607575228747</v>
      </c>
      <c r="K219" s="183">
        <f>'Аморт ОС'!J38</f>
        <v>9319.3647740505912</v>
      </c>
      <c r="L219" s="183">
        <f>'Аморт ОС'!K38</f>
        <v>8048.8538589058462</v>
      </c>
      <c r="M219" s="183">
        <f>'Аморт ОС'!L38</f>
        <v>6987.5572642544848</v>
      </c>
      <c r="N219" s="183">
        <f>'Аморт ОС'!M38</f>
        <v>6094.2164111463262</v>
      </c>
      <c r="O219" s="183">
        <f>'Аморт ОС'!N38</f>
        <v>5336.8196748896444</v>
      </c>
      <c r="P219" s="183">
        <f>'Аморт ОС'!O38</f>
        <v>4690.3649506128004</v>
      </c>
      <c r="Q219" s="183">
        <f>D219-SUM(F219:P219)</f>
        <v>38399.794025778116</v>
      </c>
    </row>
    <row r="220" spans="1:17" x14ac:dyDescent="0.25">
      <c r="A220" s="250"/>
      <c r="B220" s="569" t="s">
        <v>312</v>
      </c>
      <c r="C220" s="237" t="s">
        <v>271</v>
      </c>
      <c r="D220" s="183">
        <f>SUM(F220:Q220)</f>
        <v>22745.199999999997</v>
      </c>
      <c r="E220" s="167"/>
      <c r="F220" s="183">
        <f>'Аморт ГКР'!F28</f>
        <v>1478.9631757256859</v>
      </c>
      <c r="G220" s="183">
        <f>'Аморт ГКР'!G28</f>
        <v>1867.0299685677962</v>
      </c>
      <c r="H220" s="183">
        <f>'Аморт ГКР'!H28</f>
        <v>2010.6476584576267</v>
      </c>
      <c r="I220" s="183">
        <f>'Аморт ГКР'!I28</f>
        <v>2154.2653483474569</v>
      </c>
      <c r="J220" s="183">
        <f>'Аморт ГКР'!J28</f>
        <v>2154.2653483474569</v>
      </c>
      <c r="K220" s="183">
        <f>'Аморт ГКР'!K28</f>
        <v>2154.2653483474573</v>
      </c>
      <c r="L220" s="183">
        <f>'Аморт ГКР'!L28</f>
        <v>2154.2653483474573</v>
      </c>
      <c r="M220" s="183">
        <f>'Аморт ГКР'!M28</f>
        <v>2154.2653483474573</v>
      </c>
      <c r="N220" s="183">
        <f>'Аморт ГКР'!N28</f>
        <v>2154.2653483474573</v>
      </c>
      <c r="O220" s="183">
        <f>'Аморт ГКР'!O28</f>
        <v>2154.2653483474578</v>
      </c>
      <c r="P220" s="183">
        <f>'Аморт ГКР'!P28</f>
        <v>1436.1768988983049</v>
      </c>
      <c r="Q220" s="183">
        <f>'Аморт ГКР'!Q28</f>
        <v>872.5248599183841</v>
      </c>
    </row>
    <row r="221" spans="1:17" x14ac:dyDescent="0.25">
      <c r="A221" s="250"/>
      <c r="B221" s="569" t="s">
        <v>313</v>
      </c>
      <c r="C221" s="237" t="s">
        <v>271</v>
      </c>
      <c r="D221" s="183">
        <f>'Амор на доп обор'!D16</f>
        <v>10417.269381406064</v>
      </c>
      <c r="E221" s="167"/>
      <c r="F221" s="183">
        <f>'Амор на доп обор'!F16</f>
        <v>62.757203062499983</v>
      </c>
      <c r="G221" s="183">
        <f>'Амор на доп обор'!G16</f>
        <v>495.71683410937493</v>
      </c>
      <c r="H221" s="183">
        <f>'Амор на доп обор'!H16</f>
        <v>748.04463124194513</v>
      </c>
      <c r="I221" s="183">
        <f>'Амор на доп обор'!I16</f>
        <v>1048.7268779314588</v>
      </c>
      <c r="J221" s="183">
        <f>'Амор на доп обор'!J16</f>
        <v>866.33602494903255</v>
      </c>
      <c r="K221" s="183">
        <f>'Амор на доп обор'!K16</f>
        <v>941.6037027242744</v>
      </c>
      <c r="L221" s="183">
        <f>'Амор на доп обор'!L16</f>
        <v>747.49665035311966</v>
      </c>
      <c r="M221" s="183">
        <f>'Амор на доп обор'!M16</f>
        <v>935.50513935233971</v>
      </c>
      <c r="N221" s="183">
        <f>'Амор на доп обор'!N16</f>
        <v>933.76833735800483</v>
      </c>
      <c r="O221" s="183">
        <f>'Амор на доп обор'!O16</f>
        <v>894.44544130600366</v>
      </c>
      <c r="P221" s="183">
        <f>'Амор на доп обор'!P16</f>
        <v>685.57868689200268</v>
      </c>
      <c r="Q221" s="183">
        <f>D221-SUM(F221:P221)</f>
        <v>2057.2898521260067</v>
      </c>
    </row>
    <row r="222" spans="1:17" x14ac:dyDescent="0.25">
      <c r="B222" s="251" t="s">
        <v>314</v>
      </c>
      <c r="C222" s="235" t="s">
        <v>271</v>
      </c>
      <c r="D222" s="165">
        <f>SUM(F222:Q222)</f>
        <v>3148078.8881748198</v>
      </c>
      <c r="E222" s="177"/>
      <c r="F222" s="252">
        <f t="shared" ref="F222:Q222" si="100">F125+F140+F176+F178+F218</f>
        <v>232191.41748996914</v>
      </c>
      <c r="G222" s="252">
        <f t="shared" si="100"/>
        <v>236303.46478521187</v>
      </c>
      <c r="H222" s="252">
        <f t="shared" si="100"/>
        <v>256139.1396065405</v>
      </c>
      <c r="I222" s="252">
        <f t="shared" si="100"/>
        <v>276613.77786113461</v>
      </c>
      <c r="J222" s="252">
        <f t="shared" si="100"/>
        <v>279636.05679781217</v>
      </c>
      <c r="K222" s="252">
        <f t="shared" si="100"/>
        <v>283364.75604801514</v>
      </c>
      <c r="L222" s="252">
        <f t="shared" si="100"/>
        <v>287203.2526487743</v>
      </c>
      <c r="M222" s="252">
        <f t="shared" si="100"/>
        <v>291750.5821894838</v>
      </c>
      <c r="N222" s="252">
        <f t="shared" si="100"/>
        <v>296394.83589882083</v>
      </c>
      <c r="O222" s="252">
        <f t="shared" si="100"/>
        <v>301257.51005266228</v>
      </c>
      <c r="P222" s="252">
        <f t="shared" si="100"/>
        <v>231911.56068626032</v>
      </c>
      <c r="Q222" s="252">
        <f t="shared" si="100"/>
        <v>175312.53411013493</v>
      </c>
    </row>
    <row r="223" spans="1:17" x14ac:dyDescent="0.25">
      <c r="B223" s="251" t="s">
        <v>315</v>
      </c>
      <c r="C223" s="253" t="s">
        <v>269</v>
      </c>
      <c r="D223" s="165">
        <f>D222/D22</f>
        <v>196.04997157252112</v>
      </c>
      <c r="E223" s="165"/>
      <c r="F223" s="165">
        <f t="shared" ref="F223:Q223" si="101">F222/F22</f>
        <v>185.75313399197532</v>
      </c>
      <c r="G223" s="165">
        <f t="shared" si="101"/>
        <v>181.77189598862452</v>
      </c>
      <c r="H223" s="165">
        <f t="shared" si="101"/>
        <v>182.95652829038607</v>
      </c>
      <c r="I223" s="165">
        <f t="shared" si="101"/>
        <v>184.40918524075641</v>
      </c>
      <c r="J223" s="165">
        <f t="shared" si="101"/>
        <v>186.42403786520811</v>
      </c>
      <c r="K223" s="165">
        <f t="shared" si="101"/>
        <v>188.90983736534344</v>
      </c>
      <c r="L223" s="165">
        <f t="shared" si="101"/>
        <v>191.46883509918285</v>
      </c>
      <c r="M223" s="165">
        <f t="shared" si="101"/>
        <v>194.50038812632255</v>
      </c>
      <c r="N223" s="165">
        <f t="shared" si="101"/>
        <v>197.59655726588056</v>
      </c>
      <c r="O223" s="165">
        <f t="shared" si="101"/>
        <v>200.83834003510819</v>
      </c>
      <c r="P223" s="165">
        <f t="shared" si="101"/>
        <v>231.91156068626032</v>
      </c>
      <c r="Q223" s="165">
        <f t="shared" si="101"/>
        <v>288.56462794635837</v>
      </c>
    </row>
    <row r="224" spans="1:17" ht="26.4" x14ac:dyDescent="0.25">
      <c r="B224" s="254" t="s">
        <v>316</v>
      </c>
      <c r="C224" s="245" t="s">
        <v>271</v>
      </c>
      <c r="D224" s="255">
        <f t="shared" ref="D224:D230" si="102">SUM(E224:Q224)</f>
        <v>1339220.2155614621</v>
      </c>
      <c r="E224" s="255"/>
      <c r="F224" s="255">
        <f t="shared" ref="F224:Q224" si="103">F110-F222+F218</f>
        <v>109500.82959562671</v>
      </c>
      <c r="G224" s="255">
        <f t="shared" si="103"/>
        <v>106773.79316293553</v>
      </c>
      <c r="H224" s="255">
        <f t="shared" si="103"/>
        <v>108403.79111848684</v>
      </c>
      <c r="I224" s="255">
        <f t="shared" si="103"/>
        <v>98409.22537395457</v>
      </c>
      <c r="J224" s="255">
        <f t="shared" si="103"/>
        <v>100546.04085689607</v>
      </c>
      <c r="K224" s="255">
        <f t="shared" si="103"/>
        <v>102776.25554960736</v>
      </c>
      <c r="L224" s="255">
        <f t="shared" si="103"/>
        <v>105038.36782897574</v>
      </c>
      <c r="M224" s="255">
        <f t="shared" si="103"/>
        <v>107334.28156721052</v>
      </c>
      <c r="N224" s="255">
        <f t="shared" si="103"/>
        <v>109665.8122150593</v>
      </c>
      <c r="O224" s="255">
        <f t="shared" si="103"/>
        <v>112034.69768144326</v>
      </c>
      <c r="P224" s="255">
        <f t="shared" si="103"/>
        <v>187996.08195729007</v>
      </c>
      <c r="Q224" s="255">
        <f t="shared" si="103"/>
        <v>90741.038653975702</v>
      </c>
    </row>
    <row r="225" spans="1:17" x14ac:dyDescent="0.25">
      <c r="B225" s="244" t="s">
        <v>317</v>
      </c>
      <c r="C225" s="237" t="s">
        <v>271</v>
      </c>
      <c r="D225" s="255">
        <f t="shared" si="102"/>
        <v>1149370.1988339238</v>
      </c>
      <c r="E225" s="255"/>
      <c r="F225" s="255">
        <f t="shared" ref="F225:Q225" si="104">F110-F222</f>
        <v>86572.423420002015</v>
      </c>
      <c r="G225" s="255">
        <f t="shared" si="104"/>
        <v>86566.779546724661</v>
      </c>
      <c r="H225" s="255">
        <f t="shared" si="104"/>
        <v>90636.517364269122</v>
      </c>
      <c r="I225" s="255">
        <f t="shared" si="104"/>
        <v>82487.79841129866</v>
      </c>
      <c r="J225" s="255">
        <f t="shared" si="104"/>
        <v>86672.831908370834</v>
      </c>
      <c r="K225" s="255">
        <f t="shared" si="104"/>
        <v>90361.021724485036</v>
      </c>
      <c r="L225" s="255">
        <f t="shared" si="104"/>
        <v>94087.751971369318</v>
      </c>
      <c r="M225" s="255">
        <f t="shared" si="104"/>
        <v>97256.953815256245</v>
      </c>
      <c r="N225" s="255">
        <f t="shared" si="104"/>
        <v>100483.56211820751</v>
      </c>
      <c r="O225" s="255">
        <f t="shared" si="104"/>
        <v>103649.16721690015</v>
      </c>
      <c r="P225" s="255">
        <f t="shared" si="104"/>
        <v>181183.96142088695</v>
      </c>
      <c r="Q225" s="255">
        <f t="shared" si="104"/>
        <v>49411.429916153196</v>
      </c>
    </row>
    <row r="226" spans="1:17" ht="26.4" x14ac:dyDescent="0.25">
      <c r="B226" s="239" t="s">
        <v>318</v>
      </c>
      <c r="C226" s="237" t="s">
        <v>271</v>
      </c>
      <c r="D226" s="255">
        <f t="shared" si="102"/>
        <v>1149370.1988339238</v>
      </c>
      <c r="E226" s="255"/>
      <c r="F226" s="255">
        <f>F225</f>
        <v>86572.423420002015</v>
      </c>
      <c r="G226" s="255">
        <f t="shared" ref="G226:Q226" si="105">G225</f>
        <v>86566.779546724661</v>
      </c>
      <c r="H226" s="255">
        <f t="shared" si="105"/>
        <v>90636.517364269122</v>
      </c>
      <c r="I226" s="255">
        <f t="shared" si="105"/>
        <v>82487.79841129866</v>
      </c>
      <c r="J226" s="255">
        <f t="shared" si="105"/>
        <v>86672.831908370834</v>
      </c>
      <c r="K226" s="255">
        <f t="shared" si="105"/>
        <v>90361.021724485036</v>
      </c>
      <c r="L226" s="255">
        <f t="shared" si="105"/>
        <v>94087.751971369318</v>
      </c>
      <c r="M226" s="255">
        <f t="shared" si="105"/>
        <v>97256.953815256245</v>
      </c>
      <c r="N226" s="255">
        <f t="shared" si="105"/>
        <v>100483.56211820751</v>
      </c>
      <c r="O226" s="255">
        <f t="shared" si="105"/>
        <v>103649.16721690015</v>
      </c>
      <c r="P226" s="255">
        <f t="shared" si="105"/>
        <v>181183.96142088695</v>
      </c>
      <c r="Q226" s="255">
        <f t="shared" si="105"/>
        <v>49411.429916153196</v>
      </c>
    </row>
    <row r="227" spans="1:17" x14ac:dyDescent="0.25">
      <c r="B227" s="244" t="s">
        <v>319</v>
      </c>
      <c r="C227" s="237" t="s">
        <v>271</v>
      </c>
      <c r="D227" s="255">
        <f t="shared" si="102"/>
        <v>229874</v>
      </c>
      <c r="E227" s="255"/>
      <c r="F227" s="255">
        <f>ROUND(IF((F226)&lt;0,0,20%*(F226)),0)</f>
        <v>17314</v>
      </c>
      <c r="G227" s="255">
        <f t="shared" ref="G227:Q227" si="106">ROUND(IF((G226)&lt;0,0,20%*(G226)),0)</f>
        <v>17313</v>
      </c>
      <c r="H227" s="255">
        <f t="shared" si="106"/>
        <v>18127</v>
      </c>
      <c r="I227" s="255">
        <f t="shared" si="106"/>
        <v>16498</v>
      </c>
      <c r="J227" s="255">
        <f t="shared" si="106"/>
        <v>17335</v>
      </c>
      <c r="K227" s="255">
        <f t="shared" si="106"/>
        <v>18072</v>
      </c>
      <c r="L227" s="255">
        <f t="shared" si="106"/>
        <v>18818</v>
      </c>
      <c r="M227" s="255">
        <f t="shared" si="106"/>
        <v>19451</v>
      </c>
      <c r="N227" s="255">
        <f t="shared" si="106"/>
        <v>20097</v>
      </c>
      <c r="O227" s="255">
        <f t="shared" si="106"/>
        <v>20730</v>
      </c>
      <c r="P227" s="255">
        <f t="shared" si="106"/>
        <v>36237</v>
      </c>
      <c r="Q227" s="255">
        <f t="shared" si="106"/>
        <v>9882</v>
      </c>
    </row>
    <row r="228" spans="1:17" x14ac:dyDescent="0.25">
      <c r="A228" s="250"/>
      <c r="B228" s="251" t="s">
        <v>320</v>
      </c>
      <c r="C228" s="237" t="s">
        <v>271</v>
      </c>
      <c r="D228" s="255">
        <f t="shared" si="102"/>
        <v>919496.19883392367</v>
      </c>
      <c r="E228" s="256"/>
      <c r="F228" s="256">
        <f>F225-F227</f>
        <v>69258.423420002015</v>
      </c>
      <c r="G228" s="256">
        <f t="shared" ref="G228" si="107">G225-G227</f>
        <v>69253.779546724661</v>
      </c>
      <c r="H228" s="256">
        <f t="shared" ref="H228" si="108">H225-H227</f>
        <v>72509.517364269122</v>
      </c>
      <c r="I228" s="256">
        <f t="shared" ref="I228" si="109">I225-I227</f>
        <v>65989.79841129866</v>
      </c>
      <c r="J228" s="256">
        <f t="shared" ref="J228" si="110">J225-J227</f>
        <v>69337.831908370834</v>
      </c>
      <c r="K228" s="256">
        <f t="shared" ref="K228" si="111">K225-K227</f>
        <v>72289.021724485036</v>
      </c>
      <c r="L228" s="256">
        <f t="shared" ref="L228" si="112">L225-L227</f>
        <v>75269.751971369318</v>
      </c>
      <c r="M228" s="256">
        <f t="shared" ref="M228" si="113">M225-M227</f>
        <v>77805.953815256245</v>
      </c>
      <c r="N228" s="256">
        <f t="shared" ref="N228" si="114">N225-N227</f>
        <v>80386.562118207512</v>
      </c>
      <c r="O228" s="256">
        <f t="shared" ref="O228" si="115">O225-O227</f>
        <v>82919.167216900154</v>
      </c>
      <c r="P228" s="256">
        <f t="shared" ref="P228" si="116">P225-P227</f>
        <v>144946.96142088695</v>
      </c>
      <c r="Q228" s="256">
        <f t="shared" ref="Q228" si="117">Q225-Q227</f>
        <v>39529.429916153196</v>
      </c>
    </row>
    <row r="229" spans="1:17" x14ac:dyDescent="0.25">
      <c r="A229" s="250"/>
      <c r="B229" s="251" t="s">
        <v>321</v>
      </c>
      <c r="C229" s="237" t="s">
        <v>271</v>
      </c>
      <c r="D229" s="255">
        <f t="shared" si="102"/>
        <v>-190177.89845253804</v>
      </c>
      <c r="E229" s="255">
        <f>E230+E237</f>
        <v>-203453.71256912578</v>
      </c>
      <c r="F229" s="255">
        <f t="shared" ref="F229:Q229" si="118">F230+F237</f>
        <v>-20072.238271298542</v>
      </c>
      <c r="G229" s="255">
        <f t="shared" si="118"/>
        <v>-9508.1306915157256</v>
      </c>
      <c r="H229" s="255">
        <f t="shared" si="118"/>
        <v>-5599.9556735584792</v>
      </c>
      <c r="I229" s="255">
        <f t="shared" si="118"/>
        <v>-2555.2294053355108</v>
      </c>
      <c r="J229" s="255">
        <f t="shared" si="118"/>
        <v>-1064.9033160423485</v>
      </c>
      <c r="K229" s="255">
        <f t="shared" si="118"/>
        <v>-1935.1060562018315</v>
      </c>
      <c r="L229" s="255">
        <f t="shared" si="118"/>
        <v>-1074.6414013815556</v>
      </c>
      <c r="M229" s="255">
        <f t="shared" si="118"/>
        <v>-2428.3813482174069</v>
      </c>
      <c r="N229" s="255">
        <f t="shared" si="118"/>
        <v>-1901.09276214329</v>
      </c>
      <c r="O229" s="255">
        <f t="shared" si="118"/>
        <v>13092.713120130395</v>
      </c>
      <c r="P229" s="255">
        <f t="shared" si="118"/>
        <v>11260.826891575078</v>
      </c>
      <c r="Q229" s="255">
        <f t="shared" si="118"/>
        <v>35061.953030576988</v>
      </c>
    </row>
    <row r="230" spans="1:17" x14ac:dyDescent="0.25">
      <c r="A230" s="164"/>
      <c r="B230" s="251" t="s">
        <v>322</v>
      </c>
      <c r="C230" s="237" t="s">
        <v>271</v>
      </c>
      <c r="D230" s="255">
        <f t="shared" si="102"/>
        <v>-190177.89845253798</v>
      </c>
      <c r="E230" s="255">
        <f>E234+E233+E235+E236</f>
        <v>-157015.42907113195</v>
      </c>
      <c r="F230" s="255">
        <f t="shared" ref="F230:Q230" si="119">F234+F233+F235</f>
        <v>-19249.828812249998</v>
      </c>
      <c r="G230" s="255">
        <f t="shared" si="119"/>
        <v>-5540.9957272499996</v>
      </c>
      <c r="H230" s="255">
        <f t="shared" si="119"/>
        <v>-1505.0280226396558</v>
      </c>
      <c r="I230" s="255">
        <f t="shared" si="119"/>
        <v>-1950.7736179999999</v>
      </c>
      <c r="J230" s="255">
        <f t="shared" si="119"/>
        <v>-319.16346600175336</v>
      </c>
      <c r="K230" s="255">
        <f t="shared" si="119"/>
        <v>-1167.4067360499998</v>
      </c>
      <c r="L230" s="255">
        <f t="shared" si="119"/>
        <v>-165.17549323965565</v>
      </c>
      <c r="M230" s="255">
        <f t="shared" si="119"/>
        <v>-1499.53060635</v>
      </c>
      <c r="N230" s="255">
        <f t="shared" si="119"/>
        <v>-928.55793137499995</v>
      </c>
      <c r="O230" s="255">
        <f t="shared" si="119"/>
        <v>-776.47675314999992</v>
      </c>
      <c r="P230" s="255">
        <f t="shared" si="119"/>
        <v>-58.978423649999996</v>
      </c>
      <c r="Q230" s="255">
        <f t="shared" si="119"/>
        <v>-0.55379144999999996</v>
      </c>
    </row>
    <row r="231" spans="1:17" x14ac:dyDescent="0.25">
      <c r="A231" s="164"/>
      <c r="B231" s="251" t="s">
        <v>323</v>
      </c>
      <c r="C231" s="253" t="s">
        <v>269</v>
      </c>
      <c r="D231" s="255">
        <f>D230/D22</f>
        <v>-11.843531534547553</v>
      </c>
      <c r="E231" s="255"/>
      <c r="F231" s="255"/>
      <c r="G231" s="255"/>
      <c r="H231" s="255"/>
      <c r="I231" s="255"/>
      <c r="J231" s="255"/>
      <c r="K231" s="255"/>
      <c r="L231" s="255"/>
      <c r="M231" s="257"/>
      <c r="N231" s="257"/>
      <c r="O231" s="257"/>
      <c r="P231" s="257"/>
      <c r="Q231" s="257"/>
    </row>
    <row r="232" spans="1:17" x14ac:dyDescent="0.25">
      <c r="A232" s="164"/>
      <c r="B232" s="244" t="s">
        <v>272</v>
      </c>
      <c r="C232" s="237"/>
      <c r="D232" s="258"/>
      <c r="E232" s="258"/>
      <c r="F232" s="255"/>
      <c r="G232" s="255"/>
      <c r="H232" s="255"/>
      <c r="I232" s="255"/>
      <c r="J232" s="255"/>
      <c r="K232" s="255"/>
      <c r="L232" s="255"/>
      <c r="M232" s="257"/>
      <c r="N232" s="257"/>
      <c r="O232" s="257"/>
      <c r="P232" s="257"/>
      <c r="Q232" s="257"/>
    </row>
    <row r="233" spans="1:17" x14ac:dyDescent="0.25">
      <c r="A233" s="164"/>
      <c r="B233" s="248" t="s">
        <v>59</v>
      </c>
      <c r="C233" s="237" t="s">
        <v>271</v>
      </c>
      <c r="D233" s="255">
        <f t="shared" ref="D233:D238" si="120">SUM(E233:Q233)</f>
        <v>-22745.199999999997</v>
      </c>
      <c r="E233" s="255"/>
      <c r="F233" s="255">
        <f>-F94*'И. Д.'!$H$85</f>
        <v>-18998.8</v>
      </c>
      <c r="G233" s="255">
        <f>-G94*'И. Д.'!$H$85</f>
        <v>-3746.3999999999996</v>
      </c>
      <c r="H233" s="255">
        <f>-H94*'И. Д.'!$H$85</f>
        <v>0</v>
      </c>
      <c r="I233" s="255">
        <f>-I94*'И. Д.'!$H$85</f>
        <v>0</v>
      </c>
      <c r="J233" s="255">
        <f>-J94*'И. Д.'!$H$85</f>
        <v>0</v>
      </c>
      <c r="K233" s="255">
        <f>-K94*'И. Д.'!I85</f>
        <v>0</v>
      </c>
      <c r="L233" s="255">
        <f>-L94*'И. Д.'!J85</f>
        <v>0</v>
      </c>
      <c r="M233" s="255">
        <f>-M94*'И. Д.'!K85</f>
        <v>0</v>
      </c>
      <c r="N233" s="255">
        <f>-N94*'И. Д.'!L85</f>
        <v>0</v>
      </c>
      <c r="O233" s="255">
        <f>-O94*'И. Д.'!M85</f>
        <v>0</v>
      </c>
      <c r="P233" s="255">
        <f>-P94*'И. Д.'!N85</f>
        <v>0</v>
      </c>
      <c r="Q233" s="255">
        <f>-Q94*'И. Д.'!O85</f>
        <v>0</v>
      </c>
    </row>
    <row r="234" spans="1:17" x14ac:dyDescent="0.25">
      <c r="B234" s="244" t="s">
        <v>324</v>
      </c>
      <c r="C234" s="237" t="s">
        <v>271</v>
      </c>
      <c r="D234" s="255">
        <f t="shared" si="120"/>
        <v>-8769.0629314060643</v>
      </c>
      <c r="E234" s="255"/>
      <c r="F234" s="255">
        <f>-('Обнов об.1 оч'!H39+'Обнов обор 2 оч'!H55)</f>
        <v>-3.7978447499999994</v>
      </c>
      <c r="G234" s="255">
        <f>-('Обнов об.1 оч'!I39+'Обнов обор 2 оч'!I55)</f>
        <v>-393.62024474999998</v>
      </c>
      <c r="H234" s="255">
        <f>-('Обнов об.1 оч'!J39+'Обнов обор 2 оч'!J55)</f>
        <v>-1505.0280226396558</v>
      </c>
      <c r="I234" s="255">
        <f>-('Обнов об.1 оч'!K39+'Обнов обор 2 оч'!K55)</f>
        <v>-1950.7736179999999</v>
      </c>
      <c r="J234" s="255">
        <f>-('Обнов об.1 оч'!L39+'Обнов обор 2 оч'!L55)</f>
        <v>-319.16346600175336</v>
      </c>
      <c r="K234" s="255">
        <f>-('Обнов об.1 оч'!M39+'Обнов обор 2 оч'!M55)</f>
        <v>-1167.4067360499998</v>
      </c>
      <c r="L234" s="255">
        <f>-('Обнов об.1 оч'!N39+'Обнов обор 2 оч'!N55)</f>
        <v>-165.17549323965565</v>
      </c>
      <c r="M234" s="255">
        <f>-('Обнов об.1 оч'!O39+'Обнов обор 2 оч'!O55)</f>
        <v>-1499.53060635</v>
      </c>
      <c r="N234" s="255">
        <f>-('Обнов об.1 оч'!P39+'Обнов обор 2 оч'!P55)</f>
        <v>-928.55793137499995</v>
      </c>
      <c r="O234" s="255">
        <f>-('Обнов об.1 оч'!Q39+'Обнов обор 2 оч'!Q55)</f>
        <v>-776.47675314999992</v>
      </c>
      <c r="P234" s="255">
        <f>-('Обнов об.1 оч'!R39+'Обнов обор 2 оч'!R55)</f>
        <v>-58.978423649999996</v>
      </c>
      <c r="Q234" s="255">
        <f>-('Обнов об.1 оч'!S39+'Обнов обор 2 оч'!S55)</f>
        <v>-0.55379144999999996</v>
      </c>
    </row>
    <row r="235" spans="1:17" x14ac:dyDescent="0.25">
      <c r="B235" s="248" t="s">
        <v>521</v>
      </c>
      <c r="C235" s="237" t="s">
        <v>271</v>
      </c>
      <c r="D235" s="255">
        <f t="shared" si="120"/>
        <v>-1976.0881749999999</v>
      </c>
      <c r="E235" s="255">
        <f>-ПИР!G12</f>
        <v>-327.88172500000002</v>
      </c>
      <c r="F235" s="255">
        <f>-'Амор на доп обор'!F11</f>
        <v>-247.23096749999993</v>
      </c>
      <c r="G235" s="255">
        <f>-'Амор на доп обор'!G11</f>
        <v>-1400.9754824999998</v>
      </c>
      <c r="H235" s="255">
        <f>-H99*100/1000</f>
        <v>0</v>
      </c>
      <c r="I235" s="255">
        <f>-I99*100/1000</f>
        <v>0</v>
      </c>
      <c r="J235" s="255">
        <f>-J99*100/1000</f>
        <v>0</v>
      </c>
      <c r="K235" s="255">
        <f>-K99*100/1000</f>
        <v>0</v>
      </c>
      <c r="L235" s="255">
        <f>-L99*100/1000</f>
        <v>0</v>
      </c>
      <c r="M235" s="257"/>
      <c r="N235" s="257"/>
      <c r="O235" s="257"/>
      <c r="P235" s="257"/>
      <c r="Q235" s="257"/>
    </row>
    <row r="236" spans="1:17" ht="26.4" x14ac:dyDescent="0.25">
      <c r="B236" s="248" t="s">
        <v>325</v>
      </c>
      <c r="C236" s="237" t="s">
        <v>271</v>
      </c>
      <c r="D236" s="255">
        <f t="shared" si="120"/>
        <v>-156687.54734613193</v>
      </c>
      <c r="E236" s="255">
        <f>-ОС!I8</f>
        <v>-156687.54734613193</v>
      </c>
      <c r="F236" s="255"/>
      <c r="G236" s="259"/>
      <c r="H236" s="259"/>
      <c r="I236" s="259"/>
      <c r="J236" s="259"/>
      <c r="K236" s="259"/>
      <c r="L236" s="259"/>
      <c r="M236" s="257"/>
      <c r="N236" s="257"/>
      <c r="O236" s="257"/>
      <c r="P236" s="257"/>
      <c r="Q236" s="257"/>
    </row>
    <row r="237" spans="1:17" x14ac:dyDescent="0.25">
      <c r="B237" s="244" t="s">
        <v>60</v>
      </c>
      <c r="C237" s="246" t="s">
        <v>271</v>
      </c>
      <c r="D237" s="255">
        <f t="shared" si="120"/>
        <v>0</v>
      </c>
      <c r="E237" s="259">
        <f>-20%*F222</f>
        <v>-46438.283497993834</v>
      </c>
      <c r="F237" s="259">
        <f t="shared" ref="F237" si="121">-20%*(G222-F222)</f>
        <v>-822.40945904854459</v>
      </c>
      <c r="G237" s="259">
        <f t="shared" ref="G237" si="122">-20%*(H222-G222)</f>
        <v>-3967.1349642657269</v>
      </c>
      <c r="H237" s="259">
        <f t="shared" ref="H237" si="123">-20%*(I222-H222)</f>
        <v>-4094.9276509188235</v>
      </c>
      <c r="I237" s="259">
        <f t="shared" ref="I237" si="124">-20%*(J222-I222)</f>
        <v>-604.45578733551088</v>
      </c>
      <c r="J237" s="259">
        <f t="shared" ref="J237" si="125">-20%*(K222-J222)</f>
        <v>-745.73985004059512</v>
      </c>
      <c r="K237" s="259">
        <f t="shared" ref="K237" si="126">-20%*(L222-K222)</f>
        <v>-767.69932015183156</v>
      </c>
      <c r="L237" s="259">
        <f t="shared" ref="L237" si="127">-20%*(M222-L222)</f>
        <v>-909.46590814189994</v>
      </c>
      <c r="M237" s="259">
        <f t="shared" ref="M237" si="128">-20%*(N222-M222)</f>
        <v>-928.85074186740678</v>
      </c>
      <c r="N237" s="259">
        <f t="shared" ref="N237" si="129">-20%*(O222-N222)</f>
        <v>-972.53483076829002</v>
      </c>
      <c r="O237" s="259">
        <f t="shared" ref="O237" si="130">-20%*(P222-O222)</f>
        <v>13869.189873280395</v>
      </c>
      <c r="P237" s="259">
        <f t="shared" ref="P237" si="131">-20%*(Q222-P222)</f>
        <v>11319.805315225078</v>
      </c>
      <c r="Q237" s="259">
        <f t="shared" ref="Q237" si="132">-20%*(R222-Q222)</f>
        <v>35062.50682202699</v>
      </c>
    </row>
    <row r="238" spans="1:17" x14ac:dyDescent="0.25">
      <c r="A238" s="250"/>
      <c r="B238" s="251" t="s">
        <v>326</v>
      </c>
      <c r="C238" s="253" t="s">
        <v>271</v>
      </c>
      <c r="D238" s="255">
        <f t="shared" si="120"/>
        <v>919168.3171089238</v>
      </c>
      <c r="E238" s="255">
        <f>E228+E229+E218</f>
        <v>-203453.71256912578</v>
      </c>
      <c r="F238" s="255">
        <f t="shared" ref="F238:Q238" si="133">F228+F229+F218</f>
        <v>72114.591324328168</v>
      </c>
      <c r="G238" s="255">
        <f t="shared" si="133"/>
        <v>79952.662471419797</v>
      </c>
      <c r="H238" s="255">
        <f t="shared" si="133"/>
        <v>84676.835444928365</v>
      </c>
      <c r="I238" s="255">
        <f t="shared" si="133"/>
        <v>79355.995968619056</v>
      </c>
      <c r="J238" s="255">
        <f t="shared" si="133"/>
        <v>82146.137540853728</v>
      </c>
      <c r="K238" s="255">
        <f t="shared" si="133"/>
        <v>82769.149493405537</v>
      </c>
      <c r="L238" s="255">
        <f t="shared" si="133"/>
        <v>85145.726427594185</v>
      </c>
      <c r="M238" s="255">
        <f t="shared" si="133"/>
        <v>85454.90021899312</v>
      </c>
      <c r="N238" s="255">
        <f t="shared" si="133"/>
        <v>87667.719452916004</v>
      </c>
      <c r="O238" s="255">
        <f t="shared" si="133"/>
        <v>104397.41080157366</v>
      </c>
      <c r="P238" s="255">
        <f t="shared" si="133"/>
        <v>163019.90884886513</v>
      </c>
      <c r="Q238" s="255">
        <f t="shared" si="133"/>
        <v>115920.99168455269</v>
      </c>
    </row>
    <row r="239" spans="1:17" x14ac:dyDescent="0.25">
      <c r="B239" s="251" t="s">
        <v>327</v>
      </c>
      <c r="C239" s="237" t="s">
        <v>271</v>
      </c>
      <c r="D239" s="260"/>
      <c r="E239" s="261">
        <f>E238</f>
        <v>-203453.71256912578</v>
      </c>
      <c r="F239" s="261">
        <f t="shared" ref="F239:Q239" si="134">E239+F238</f>
        <v>-131339.1212447976</v>
      </c>
      <c r="G239" s="261">
        <f t="shared" si="134"/>
        <v>-51386.458773377803</v>
      </c>
      <c r="H239" s="261">
        <f t="shared" si="134"/>
        <v>33290.376671550563</v>
      </c>
      <c r="I239" s="261">
        <f t="shared" si="134"/>
        <v>112646.37264016962</v>
      </c>
      <c r="J239" s="261">
        <f t="shared" si="134"/>
        <v>194792.51018102333</v>
      </c>
      <c r="K239" s="261">
        <f t="shared" si="134"/>
        <v>277561.65967442887</v>
      </c>
      <c r="L239" s="261">
        <f t="shared" si="134"/>
        <v>362707.38610202307</v>
      </c>
      <c r="M239" s="261">
        <f t="shared" si="134"/>
        <v>448162.2863210162</v>
      </c>
      <c r="N239" s="261">
        <f t="shared" si="134"/>
        <v>535830.00577393221</v>
      </c>
      <c r="O239" s="261">
        <f t="shared" si="134"/>
        <v>640227.41657550586</v>
      </c>
      <c r="P239" s="261">
        <f t="shared" si="134"/>
        <v>803247.32542437105</v>
      </c>
      <c r="Q239" s="261">
        <f t="shared" si="134"/>
        <v>919168.3171089238</v>
      </c>
    </row>
    <row r="240" spans="1:17" x14ac:dyDescent="0.25">
      <c r="B240" s="262" t="s">
        <v>328</v>
      </c>
      <c r="C240" s="237"/>
      <c r="D240" s="263"/>
      <c r="E240" s="263"/>
      <c r="F240" s="263"/>
      <c r="G240" s="263"/>
      <c r="H240" s="263"/>
      <c r="I240" s="263"/>
      <c r="J240" s="263"/>
      <c r="K240" s="263"/>
      <c r="L240" s="255"/>
      <c r="M240" s="257"/>
      <c r="N240" s="257"/>
      <c r="O240" s="257"/>
      <c r="P240" s="257"/>
      <c r="Q240" s="257"/>
    </row>
    <row r="241" spans="2:17" x14ac:dyDescent="0.25">
      <c r="B241" s="264" t="s">
        <v>329</v>
      </c>
      <c r="C241" s="237" t="s">
        <v>271</v>
      </c>
      <c r="D241" s="255">
        <f>NPV(5%,E238:Q238)</f>
        <v>572498.58942358976</v>
      </c>
      <c r="E241" s="260"/>
      <c r="F241" s="255"/>
      <c r="G241" s="255"/>
      <c r="H241" s="255"/>
      <c r="I241" s="255"/>
      <c r="J241" s="255"/>
      <c r="K241" s="255"/>
      <c r="L241" s="255"/>
      <c r="M241" s="257"/>
      <c r="N241" s="257"/>
      <c r="O241" s="257"/>
      <c r="P241" s="257"/>
      <c r="Q241" s="257"/>
    </row>
    <row r="242" spans="2:17" x14ac:dyDescent="0.25">
      <c r="B242" s="264" t="s">
        <v>330</v>
      </c>
      <c r="C242" s="237" t="s">
        <v>271</v>
      </c>
      <c r="D242" s="255">
        <f>NPV(10%,E238:Q238)</f>
        <v>362536.8310377975</v>
      </c>
      <c r="E242" s="265"/>
      <c r="F242" s="266"/>
      <c r="G242" s="266"/>
      <c r="H242" s="266"/>
      <c r="I242" s="266"/>
      <c r="J242" s="266"/>
      <c r="K242" s="266"/>
      <c r="L242" s="255"/>
      <c r="M242" s="257"/>
      <c r="N242" s="257"/>
      <c r="O242" s="257"/>
      <c r="P242" s="257"/>
      <c r="Q242" s="257"/>
    </row>
    <row r="243" spans="2:17" x14ac:dyDescent="0.25">
      <c r="B243" s="264" t="s">
        <v>531</v>
      </c>
      <c r="C243" s="237" t="s">
        <v>271</v>
      </c>
      <c r="D243" s="255">
        <f>NPV(15%,E238:Q238)</f>
        <v>230226.66381314225</v>
      </c>
      <c r="E243" s="260"/>
      <c r="F243" s="255"/>
      <c r="G243" s="255"/>
      <c r="H243" s="255"/>
      <c r="I243" s="255"/>
      <c r="J243" s="255"/>
      <c r="K243" s="255"/>
      <c r="L243" s="255"/>
      <c r="M243" s="257"/>
      <c r="N243" s="257"/>
      <c r="O243" s="257"/>
      <c r="P243" s="257"/>
      <c r="Q243" s="257"/>
    </row>
    <row r="244" spans="2:17" x14ac:dyDescent="0.25">
      <c r="B244" s="264" t="s">
        <v>331</v>
      </c>
      <c r="C244" s="237" t="s">
        <v>271</v>
      </c>
      <c r="D244" s="255">
        <f>NPV(20%,E238:Q238)</f>
        <v>143832.26815515515</v>
      </c>
      <c r="E244" s="260"/>
      <c r="F244" s="255"/>
      <c r="G244" s="255"/>
      <c r="H244" s="255"/>
      <c r="I244" s="255"/>
      <c r="J244" s="255"/>
      <c r="K244" s="255"/>
      <c r="L244" s="255"/>
      <c r="M244" s="257"/>
      <c r="N244" s="257"/>
      <c r="O244" s="257"/>
      <c r="P244" s="257"/>
      <c r="Q244" s="257"/>
    </row>
    <row r="245" spans="2:17" x14ac:dyDescent="0.25">
      <c r="B245" s="264"/>
      <c r="C245" s="237"/>
      <c r="D245" s="255"/>
      <c r="E245" s="260"/>
      <c r="F245" s="255"/>
      <c r="G245" s="255"/>
      <c r="H245" s="255"/>
      <c r="I245" s="255"/>
      <c r="J245" s="255"/>
      <c r="K245" s="255"/>
      <c r="L245" s="255"/>
      <c r="M245" s="257"/>
      <c r="N245" s="257"/>
      <c r="O245" s="257"/>
      <c r="P245" s="257"/>
      <c r="Q245" s="257"/>
    </row>
    <row r="246" spans="2:17" x14ac:dyDescent="0.25">
      <c r="B246" s="262" t="s">
        <v>332</v>
      </c>
      <c r="C246" s="237" t="s">
        <v>2</v>
      </c>
      <c r="D246" s="267">
        <f>IRR(E238:Q238)</f>
        <v>0.38907366979981139</v>
      </c>
      <c r="E246" s="268"/>
      <c r="F246" s="255"/>
      <c r="G246" s="255"/>
      <c r="H246" s="255"/>
      <c r="I246" s="255"/>
      <c r="J246" s="255"/>
      <c r="K246" s="255"/>
      <c r="L246" s="255"/>
      <c r="M246" s="168"/>
      <c r="N246" s="168"/>
      <c r="O246" s="168"/>
      <c r="P246" s="168"/>
      <c r="Q246" s="168"/>
    </row>
    <row r="247" spans="2:17" x14ac:dyDescent="0.25">
      <c r="B247" s="262" t="s">
        <v>526</v>
      </c>
      <c r="C247" s="270"/>
      <c r="D247" s="552">
        <f>D224/D229</f>
        <v>-7.0419340336526339</v>
      </c>
      <c r="E247" s="273"/>
      <c r="F247" s="272"/>
      <c r="G247" s="272"/>
      <c r="H247" s="272"/>
      <c r="I247" s="272"/>
      <c r="J247" s="272"/>
      <c r="K247" s="272"/>
      <c r="L247" s="272"/>
    </row>
    <row r="248" spans="2:17" x14ac:dyDescent="0.25">
      <c r="B248" s="168" t="s">
        <v>527</v>
      </c>
      <c r="C248" s="168" t="s">
        <v>529</v>
      </c>
      <c r="D248" s="213">
        <f>Q6</f>
        <v>12</v>
      </c>
    </row>
    <row r="249" spans="2:17" ht="13.8" x14ac:dyDescent="0.25">
      <c r="B249" s="269" t="s">
        <v>528</v>
      </c>
      <c r="C249" s="168" t="s">
        <v>529</v>
      </c>
      <c r="D249" s="271">
        <f>2-G239/H238</f>
        <v>2.606853793051799</v>
      </c>
    </row>
    <row r="250" spans="2:17" x14ac:dyDescent="0.25">
      <c r="D250" s="274"/>
    </row>
    <row r="251" spans="2:17" x14ac:dyDescent="0.25">
      <c r="D251" s="274"/>
    </row>
  </sheetData>
  <mergeCells count="37">
    <mergeCell ref="B200:B201"/>
    <mergeCell ref="B206:B207"/>
    <mergeCell ref="B211:B212"/>
    <mergeCell ref="B169:B170"/>
    <mergeCell ref="B171:B172"/>
    <mergeCell ref="B173:B174"/>
    <mergeCell ref="B175:B176"/>
    <mergeCell ref="B178:B179"/>
    <mergeCell ref="B181:B182"/>
    <mergeCell ref="B167:B168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5:B6"/>
    <mergeCell ref="C5:C6"/>
    <mergeCell ref="D5:D6"/>
    <mergeCell ref="F5:L5"/>
    <mergeCell ref="B143:B144"/>
    <mergeCell ref="B106:B107"/>
    <mergeCell ref="B108:B109"/>
    <mergeCell ref="B110:B111"/>
    <mergeCell ref="B125:B126"/>
    <mergeCell ref="B128:B129"/>
    <mergeCell ref="B130:B131"/>
    <mergeCell ref="B132:B133"/>
    <mergeCell ref="B134:B135"/>
    <mergeCell ref="B136:B137"/>
    <mergeCell ref="B138:B139"/>
    <mergeCell ref="B140:B141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9"/>
  <sheetViews>
    <sheetView workbookViewId="0"/>
  </sheetViews>
  <sheetFormatPr defaultColWidth="8.88671875" defaultRowHeight="13.2" x14ac:dyDescent="0.25"/>
  <cols>
    <col min="1" max="1" width="17.88671875" style="116" customWidth="1"/>
    <col min="2" max="2" width="28.5546875" style="116" customWidth="1"/>
    <col min="3" max="3" width="10.44140625" style="116" customWidth="1"/>
    <col min="4" max="4" width="25.6640625" style="116" customWidth="1"/>
    <col min="5" max="7" width="12" style="116" customWidth="1"/>
    <col min="8" max="9" width="13.33203125" style="116" customWidth="1"/>
    <col min="10" max="12" width="11" style="116" customWidth="1"/>
    <col min="13" max="13" width="11.44140625" style="116" customWidth="1"/>
    <col min="14" max="14" width="12.6640625" style="116" customWidth="1"/>
    <col min="15" max="15" width="8.88671875" style="116"/>
    <col min="16" max="16" width="11.109375" style="116" bestFit="1" customWidth="1"/>
    <col min="17" max="16384" width="8.88671875" style="116"/>
  </cols>
  <sheetData>
    <row r="2" spans="1:15" x14ac:dyDescent="0.25">
      <c r="B2" s="678" t="s">
        <v>197</v>
      </c>
      <c r="C2" s="678"/>
      <c r="D2" s="678"/>
      <c r="E2" s="678"/>
      <c r="F2" s="678"/>
      <c r="G2" s="678"/>
      <c r="H2" s="678"/>
      <c r="I2" s="678"/>
      <c r="J2" s="678"/>
      <c r="K2" s="678"/>
      <c r="L2" s="678"/>
      <c r="M2" s="678"/>
      <c r="N2" s="678"/>
    </row>
    <row r="4" spans="1:15" x14ac:dyDescent="0.25">
      <c r="B4" s="679" t="s">
        <v>198</v>
      </c>
      <c r="C4" s="117" t="s">
        <v>102</v>
      </c>
      <c r="D4" s="680" t="s">
        <v>199</v>
      </c>
      <c r="E4" s="679" t="s">
        <v>200</v>
      </c>
      <c r="F4" s="679"/>
      <c r="G4" s="679"/>
      <c r="H4" s="679"/>
      <c r="I4" s="679"/>
      <c r="J4" s="157" t="s">
        <v>201</v>
      </c>
      <c r="K4" s="158"/>
      <c r="L4" s="158"/>
      <c r="M4" s="158"/>
      <c r="N4" s="159"/>
    </row>
    <row r="5" spans="1:15" x14ac:dyDescent="0.25">
      <c r="B5" s="679"/>
      <c r="C5" s="117" t="s">
        <v>202</v>
      </c>
      <c r="D5" s="680"/>
      <c r="E5" s="117" t="s">
        <v>203</v>
      </c>
      <c r="F5" s="117" t="s">
        <v>180</v>
      </c>
      <c r="G5" s="117" t="s">
        <v>204</v>
      </c>
      <c r="H5" s="117" t="s">
        <v>188</v>
      </c>
      <c r="I5" s="117" t="s">
        <v>205</v>
      </c>
      <c r="J5" s="117" t="s">
        <v>206</v>
      </c>
      <c r="K5" s="117" t="s">
        <v>208</v>
      </c>
      <c r="L5" s="117" t="s">
        <v>207</v>
      </c>
      <c r="M5" s="117" t="s">
        <v>209</v>
      </c>
      <c r="N5" s="117" t="s">
        <v>210</v>
      </c>
    </row>
    <row r="6" spans="1:15" s="124" customFormat="1" ht="13.8" x14ac:dyDescent="0.25">
      <c r="A6" s="116"/>
      <c r="B6" s="155" t="s">
        <v>189</v>
      </c>
      <c r="C6" s="122"/>
      <c r="D6" s="156">
        <f>Запасы!D18/1000</f>
        <v>17729.408399875101</v>
      </c>
      <c r="E6" s="120">
        <f>J6/D6/10</f>
        <v>2.0488878456639599</v>
      </c>
      <c r="F6" s="120">
        <f>K6/D6/10</f>
        <v>4.0424732233729799</v>
      </c>
      <c r="G6" s="120">
        <f>L6/D6/10</f>
        <v>1.2486675397173701</v>
      </c>
      <c r="H6" s="120">
        <f>M6/D6</f>
        <v>0.84679020911172997</v>
      </c>
      <c r="I6" s="120">
        <f>N6/D6</f>
        <v>96.061350230072406</v>
      </c>
      <c r="J6" s="123">
        <v>363255.69381316612</v>
      </c>
      <c r="K6" s="123">
        <v>716706.58722739085</v>
      </c>
      <c r="L6" s="123">
        <v>221381.36767316516</v>
      </c>
      <c r="M6" s="123">
        <v>15013.089446357499</v>
      </c>
      <c r="N6" s="123">
        <v>1703110.9096723897</v>
      </c>
    </row>
    <row r="7" spans="1:15" ht="13.8" x14ac:dyDescent="0.25">
      <c r="B7" s="155" t="s">
        <v>192</v>
      </c>
      <c r="C7" s="117"/>
      <c r="D7" s="125">
        <f>Запасы!D29/1000</f>
        <v>16514.902075875099</v>
      </c>
      <c r="E7" s="120">
        <f>J7/D7/10</f>
        <v>2.13998866077121</v>
      </c>
      <c r="F7" s="120">
        <f>K7/D7/10</f>
        <v>4.3208041866159101</v>
      </c>
      <c r="G7" s="120">
        <f>L7/D7/10</f>
        <v>1.33331586196198</v>
      </c>
      <c r="H7" s="120">
        <f>M7/D7</f>
        <v>0.89840649998422795</v>
      </c>
      <c r="I7" s="120">
        <f>N7/D7</f>
        <v>102.42636049888399</v>
      </c>
      <c r="J7" s="120">
        <v>353417.03176119633</v>
      </c>
      <c r="K7" s="120">
        <v>713576.58030992909</v>
      </c>
      <c r="L7" s="120">
        <v>220195.808965131</v>
      </c>
      <c r="M7" s="120">
        <v>14837.095371569209</v>
      </c>
      <c r="N7" s="120">
        <v>1691561.3136273506</v>
      </c>
    </row>
    <row r="8" spans="1:15" ht="13.8" x14ac:dyDescent="0.25">
      <c r="B8" s="155" t="s">
        <v>194</v>
      </c>
      <c r="C8" s="117"/>
      <c r="D8" s="125">
        <f>Запасы!D40/1000</f>
        <v>15260.387276125099</v>
      </c>
      <c r="E8" s="120">
        <f>J8/D8/10</f>
        <v>2.2222738226953198</v>
      </c>
      <c r="F8" s="120">
        <f>K8/D8/10</f>
        <v>4.6357642732305795</v>
      </c>
      <c r="G8" s="120">
        <f>L8/D8/10</f>
        <v>1.4278681983705197</v>
      </c>
      <c r="H8" s="120">
        <f>M8/D8</f>
        <v>0.95466971221777008</v>
      </c>
      <c r="I8" s="120">
        <f>N8/D8</f>
        <v>109.43735927259901</v>
      </c>
      <c r="J8" s="120">
        <v>339127.59167925542</v>
      </c>
      <c r="K8" s="120">
        <v>707435.58130323258</v>
      </c>
      <c r="L8" s="120">
        <v>217898.21686397149</v>
      </c>
      <c r="M8" s="120">
        <v>14568.629529230067</v>
      </c>
      <c r="N8" s="120">
        <v>1670056.484976301</v>
      </c>
    </row>
    <row r="9" spans="1:15" x14ac:dyDescent="0.25">
      <c r="B9" s="157" t="s">
        <v>211</v>
      </c>
      <c r="C9" s="158"/>
      <c r="D9" s="158"/>
      <c r="E9" s="158"/>
      <c r="F9" s="158"/>
      <c r="G9" s="158"/>
      <c r="H9" s="158"/>
      <c r="I9" s="158"/>
      <c r="J9" s="158"/>
      <c r="K9" s="159"/>
      <c r="L9" s="158"/>
      <c r="M9" s="126"/>
      <c r="N9" s="126"/>
      <c r="O9" s="127"/>
    </row>
    <row r="10" spans="1:15" x14ac:dyDescent="0.25">
      <c r="B10" s="677" t="s">
        <v>102</v>
      </c>
      <c r="C10" s="677"/>
      <c r="D10" s="128"/>
      <c r="E10" s="129"/>
      <c r="F10" s="129"/>
      <c r="G10" s="129"/>
      <c r="H10" s="129"/>
      <c r="I10" s="129"/>
      <c r="J10" s="129"/>
      <c r="K10" s="129"/>
      <c r="L10" s="129"/>
      <c r="M10" s="118"/>
      <c r="N10" s="118"/>
      <c r="O10" s="127"/>
    </row>
    <row r="11" spans="1:15" ht="13.8" x14ac:dyDescent="0.25">
      <c r="B11" s="155" t="s">
        <v>189</v>
      </c>
      <c r="C11" s="119">
        <f>Запасы!K8</f>
        <v>7.54</v>
      </c>
      <c r="D11" s="125">
        <f>D6*(1-C11/100)</f>
        <v>16392.611006524519</v>
      </c>
      <c r="E11" s="120">
        <f t="shared" ref="E11:I13" si="0">E6</f>
        <v>2.0488878456639599</v>
      </c>
      <c r="F11" s="120">
        <f t="shared" si="0"/>
        <v>4.0424732233729799</v>
      </c>
      <c r="G11" s="120">
        <f t="shared" si="0"/>
        <v>1.2486675397173701</v>
      </c>
      <c r="H11" s="120">
        <f t="shared" si="0"/>
        <v>0.84679020911172997</v>
      </c>
      <c r="I11" s="120">
        <f t="shared" si="0"/>
        <v>96.061350230072406</v>
      </c>
      <c r="J11" s="125">
        <f>J6*(1-C11/100)</f>
        <v>335866.21449965338</v>
      </c>
      <c r="K11" s="125">
        <f>K6*(1-C11/100)</f>
        <v>662666.91055044555</v>
      </c>
      <c r="L11" s="125">
        <f>L6*(1-C11/100)</f>
        <v>204689.2125506085</v>
      </c>
      <c r="M11" s="125">
        <f>M6*(1-C11/100)</f>
        <v>13881.102502102143</v>
      </c>
      <c r="N11" s="125">
        <f>N6*(1-C11/100)</f>
        <v>1574696.3470830915</v>
      </c>
      <c r="O11" s="127"/>
    </row>
    <row r="12" spans="1:15" ht="13.8" x14ac:dyDescent="0.25">
      <c r="B12" s="155" t="s">
        <v>192</v>
      </c>
      <c r="C12" s="117">
        <f>Запасы!K21</f>
        <v>7.54</v>
      </c>
      <c r="D12" s="125">
        <f>D7*(1-C12/100)</f>
        <v>15269.678459354116</v>
      </c>
      <c r="E12" s="120">
        <f t="shared" si="0"/>
        <v>2.13998866077121</v>
      </c>
      <c r="F12" s="120">
        <f t="shared" si="0"/>
        <v>4.3208041866159101</v>
      </c>
      <c r="G12" s="120">
        <f t="shared" si="0"/>
        <v>1.33331586196198</v>
      </c>
      <c r="H12" s="120">
        <f t="shared" si="0"/>
        <v>0.89840649998422795</v>
      </c>
      <c r="I12" s="120">
        <f t="shared" si="0"/>
        <v>102.42636049888399</v>
      </c>
      <c r="J12" s="125">
        <f>J7*(1-C12/100)</f>
        <v>326769.38756640209</v>
      </c>
      <c r="K12" s="125">
        <f>K7*(1-C12/100)</f>
        <v>659772.90615456039</v>
      </c>
      <c r="L12" s="125">
        <f>L7*(1-C12/100)</f>
        <v>203593.04496916011</v>
      </c>
      <c r="M12" s="125">
        <f>M7*(1-C12/100)</f>
        <v>13718.378380552889</v>
      </c>
      <c r="N12" s="125">
        <f>N7*(1-C12/100)</f>
        <v>1564017.5905798483</v>
      </c>
    </row>
    <row r="13" spans="1:15" ht="13.8" x14ac:dyDescent="0.25">
      <c r="B13" s="155" t="s">
        <v>194</v>
      </c>
      <c r="C13" s="117">
        <f>Запасы!K32</f>
        <v>7.54</v>
      </c>
      <c r="D13" s="125">
        <f>D8*(1-C13/100)</f>
        <v>14109.754075505265</v>
      </c>
      <c r="E13" s="120">
        <f t="shared" si="0"/>
        <v>2.2222738226953198</v>
      </c>
      <c r="F13" s="120">
        <f t="shared" si="0"/>
        <v>4.6357642732305795</v>
      </c>
      <c r="G13" s="120">
        <f t="shared" si="0"/>
        <v>1.4278681983705197</v>
      </c>
      <c r="H13" s="120">
        <f t="shared" si="0"/>
        <v>0.95466971221777008</v>
      </c>
      <c r="I13" s="120">
        <f t="shared" si="0"/>
        <v>109.43735927259901</v>
      </c>
      <c r="J13" s="125">
        <f>J8*(1-C13/100)</f>
        <v>313557.37126663956</v>
      </c>
      <c r="K13" s="125">
        <f>K8*(1-C13/100)</f>
        <v>654094.93847296888</v>
      </c>
      <c r="L13" s="125">
        <f>L8*(1-C13/100)</f>
        <v>201468.69131242804</v>
      </c>
      <c r="M13" s="125">
        <f>M8*(1-C13/100)</f>
        <v>13470.15486272612</v>
      </c>
      <c r="N13" s="125">
        <f>N8*(1-C13/100)</f>
        <v>1544134.2260090879</v>
      </c>
    </row>
    <row r="14" spans="1:15" ht="13.8" x14ac:dyDescent="0.25">
      <c r="B14" s="160" t="s">
        <v>171</v>
      </c>
      <c r="C14" s="161"/>
      <c r="D14" s="161"/>
      <c r="E14" s="161"/>
      <c r="F14" s="161"/>
      <c r="G14" s="161"/>
      <c r="H14" s="161"/>
      <c r="I14" s="161"/>
      <c r="J14" s="161"/>
      <c r="K14" s="162"/>
      <c r="L14" s="161"/>
      <c r="M14" s="130"/>
      <c r="N14" s="130"/>
      <c r="O14" s="127"/>
    </row>
    <row r="15" spans="1:15" x14ac:dyDescent="0.25">
      <c r="B15" s="677" t="s">
        <v>133</v>
      </c>
      <c r="C15" s="677"/>
      <c r="D15" s="128"/>
      <c r="E15" s="129"/>
      <c r="F15" s="129"/>
      <c r="G15" s="129"/>
      <c r="H15" s="129"/>
      <c r="I15" s="129"/>
      <c r="J15" s="129"/>
      <c r="K15" s="129"/>
      <c r="L15" s="129"/>
      <c r="M15" s="118"/>
      <c r="N15" s="118"/>
      <c r="O15" s="127"/>
    </row>
    <row r="16" spans="1:15" s="133" customFormat="1" ht="13.8" x14ac:dyDescent="0.25">
      <c r="B16" s="155" t="s">
        <v>189</v>
      </c>
      <c r="C16" s="122">
        <f>Запасы!L8</f>
        <v>12.13</v>
      </c>
      <c r="D16" s="131">
        <f>D6*(1-C11/100)/(1-C16/100)</f>
        <v>18655.526353163215</v>
      </c>
      <c r="E16" s="120">
        <f>J16/D16/10</f>
        <v>1.8003577499849217</v>
      </c>
      <c r="F16" s="120">
        <f>K16/D16/10</f>
        <v>3.5521212213778375</v>
      </c>
      <c r="G16" s="120">
        <f>L16/D16/10</f>
        <v>1.0972041671496531</v>
      </c>
      <c r="H16" s="120">
        <f>M16/D16</f>
        <v>0.74407455674647716</v>
      </c>
      <c r="I16" s="120">
        <f>N16/D16</f>
        <v>84.409108447164627</v>
      </c>
      <c r="J16" s="125">
        <f t="shared" ref="J16:N18" si="1">J11</f>
        <v>335866.21449965338</v>
      </c>
      <c r="K16" s="125">
        <f t="shared" si="1"/>
        <v>662666.91055044555</v>
      </c>
      <c r="L16" s="125">
        <f t="shared" si="1"/>
        <v>204689.2125506085</v>
      </c>
      <c r="M16" s="125">
        <f t="shared" si="1"/>
        <v>13881.102502102143</v>
      </c>
      <c r="N16" s="125">
        <f t="shared" si="1"/>
        <v>1574696.3470830915</v>
      </c>
      <c r="O16" s="132"/>
    </row>
    <row r="17" spans="2:14" ht="13.8" x14ac:dyDescent="0.25">
      <c r="B17" s="155" t="s">
        <v>192</v>
      </c>
      <c r="C17" s="117">
        <f>Запасы!L21</f>
        <v>12.13</v>
      </c>
      <c r="D17" s="125">
        <f>D7*(1-C12/100)/(1-C17/100)</f>
        <v>17377.578763348258</v>
      </c>
      <c r="E17" s="120">
        <f>J17/D17/10</f>
        <v>1.8804080362196625</v>
      </c>
      <c r="F17" s="120">
        <f>K17/D17/10</f>
        <v>3.7966906387794004</v>
      </c>
      <c r="G17" s="120">
        <f>L17/D17/10</f>
        <v>1.1715846479059919</v>
      </c>
      <c r="H17" s="120">
        <f>M17/D17</f>
        <v>0.78942979153614123</v>
      </c>
      <c r="I17" s="120">
        <f>N17/D17</f>
        <v>90.002042970369374</v>
      </c>
      <c r="J17" s="125">
        <f t="shared" si="1"/>
        <v>326769.38756640209</v>
      </c>
      <c r="K17" s="125">
        <f t="shared" si="1"/>
        <v>659772.90615456039</v>
      </c>
      <c r="L17" s="125">
        <f t="shared" si="1"/>
        <v>203593.04496916011</v>
      </c>
      <c r="M17" s="125">
        <f t="shared" si="1"/>
        <v>13718.378380552889</v>
      </c>
      <c r="N17" s="125">
        <f t="shared" si="1"/>
        <v>1564017.5905798483</v>
      </c>
    </row>
    <row r="18" spans="2:14" ht="13.8" x14ac:dyDescent="0.25">
      <c r="B18" s="155" t="s">
        <v>194</v>
      </c>
      <c r="C18" s="117">
        <f>Запасы!L32</f>
        <v>12.13</v>
      </c>
      <c r="D18" s="125">
        <f>D8*(1-C13/100)/(1-C18/100)</f>
        <v>16057.532804717497</v>
      </c>
      <c r="E18" s="120">
        <f>J18/D18/10</f>
        <v>1.9527120080023779</v>
      </c>
      <c r="F18" s="120">
        <f>K18/D18/10</f>
        <v>4.073446066887711</v>
      </c>
      <c r="G18" s="120">
        <f>L18/D18/10</f>
        <v>1.2546677859081758</v>
      </c>
      <c r="H18" s="120">
        <f>M18/D18</f>
        <v>0.83886827612575454</v>
      </c>
      <c r="I18" s="120">
        <f>N18/D18</f>
        <v>96.162607592832757</v>
      </c>
      <c r="J18" s="125">
        <f t="shared" si="1"/>
        <v>313557.37126663956</v>
      </c>
      <c r="K18" s="125">
        <f t="shared" si="1"/>
        <v>654094.93847296888</v>
      </c>
      <c r="L18" s="125">
        <f t="shared" si="1"/>
        <v>201468.69131242804</v>
      </c>
      <c r="M18" s="125">
        <f t="shared" si="1"/>
        <v>13470.15486272612</v>
      </c>
      <c r="N18" s="125">
        <f t="shared" si="1"/>
        <v>1544134.2260090879</v>
      </c>
    </row>
    <row r="27" spans="2:14" x14ac:dyDescent="0.25">
      <c r="H27" s="134"/>
    </row>
    <row r="28" spans="2:14" x14ac:dyDescent="0.25">
      <c r="H28" s="134"/>
    </row>
    <row r="29" spans="2:14" x14ac:dyDescent="0.25">
      <c r="H29" s="134"/>
    </row>
  </sheetData>
  <mergeCells count="6">
    <mergeCell ref="B10:C10"/>
    <mergeCell ref="B15:C15"/>
    <mergeCell ref="B2:N2"/>
    <mergeCell ref="B4:B5"/>
    <mergeCell ref="D4:D5"/>
    <mergeCell ref="E4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S48"/>
  <sheetViews>
    <sheetView workbookViewId="0"/>
  </sheetViews>
  <sheetFormatPr defaultRowHeight="14.4" x14ac:dyDescent="0.3"/>
  <cols>
    <col min="2" max="2" width="28.5546875" customWidth="1"/>
    <col min="4" max="5" width="11.6640625" customWidth="1"/>
    <col min="6" max="6" width="12.6640625" bestFit="1" customWidth="1"/>
    <col min="7" max="7" width="12.5546875" bestFit="1" customWidth="1"/>
    <col min="8" max="12" width="11.44140625" bestFit="1" customWidth="1"/>
    <col min="13" max="13" width="18.109375" bestFit="1" customWidth="1"/>
    <col min="14" max="14" width="11.109375" bestFit="1" customWidth="1"/>
    <col min="15" max="17" width="12" bestFit="1" customWidth="1"/>
    <col min="18" max="19" width="9.5546875" bestFit="1" customWidth="1"/>
  </cols>
  <sheetData>
    <row r="2" spans="2:19" ht="45" customHeight="1" x14ac:dyDescent="0.3">
      <c r="B2" s="688" t="s">
        <v>333</v>
      </c>
      <c r="C2" s="688" t="s">
        <v>213</v>
      </c>
      <c r="D2" s="688" t="s">
        <v>214</v>
      </c>
      <c r="E2" s="681"/>
      <c r="F2" s="687" t="s">
        <v>334</v>
      </c>
      <c r="G2" s="687"/>
      <c r="H2" s="687"/>
      <c r="I2" s="687"/>
      <c r="J2" s="687"/>
      <c r="K2" s="687"/>
      <c r="L2" s="687"/>
      <c r="M2" s="687"/>
      <c r="N2" s="687"/>
      <c r="O2" s="687"/>
      <c r="P2" s="687"/>
      <c r="Q2" s="687"/>
      <c r="R2" s="687"/>
      <c r="S2" s="687"/>
    </row>
    <row r="3" spans="2:19" x14ac:dyDescent="0.3">
      <c r="B3" s="681"/>
      <c r="C3" s="681"/>
      <c r="D3" s="681"/>
      <c r="E3" s="682"/>
      <c r="F3" s="275">
        <v>2024</v>
      </c>
      <c r="G3" s="275">
        <v>2025</v>
      </c>
      <c r="H3" s="275">
        <v>2026</v>
      </c>
      <c r="I3" s="275">
        <v>2027</v>
      </c>
      <c r="J3" s="275">
        <v>2028</v>
      </c>
      <c r="K3" s="275">
        <v>2029</v>
      </c>
      <c r="L3" s="275">
        <v>2030</v>
      </c>
      <c r="M3" s="275">
        <v>2031</v>
      </c>
      <c r="N3" s="275">
        <v>2032</v>
      </c>
      <c r="O3" s="275">
        <v>2033</v>
      </c>
      <c r="P3" s="275">
        <v>2034</v>
      </c>
      <c r="Q3" s="275">
        <v>2035</v>
      </c>
      <c r="R3" s="275">
        <v>2036</v>
      </c>
      <c r="S3" s="275">
        <v>2037</v>
      </c>
    </row>
    <row r="4" spans="2:19" x14ac:dyDescent="0.3">
      <c r="B4" s="682"/>
      <c r="C4" s="682"/>
      <c r="D4" s="682"/>
      <c r="E4" s="275">
        <v>-1</v>
      </c>
      <c r="F4" s="275">
        <v>1</v>
      </c>
      <c r="G4" s="275">
        <v>2</v>
      </c>
      <c r="H4" s="275">
        <v>3</v>
      </c>
      <c r="I4" s="275">
        <v>4</v>
      </c>
      <c r="J4" s="275">
        <v>5</v>
      </c>
      <c r="K4" s="275">
        <v>6</v>
      </c>
      <c r="L4" s="275">
        <v>7</v>
      </c>
      <c r="M4" s="275">
        <v>8</v>
      </c>
      <c r="N4" s="275">
        <v>9</v>
      </c>
      <c r="O4" s="275">
        <v>10</v>
      </c>
      <c r="P4" s="275">
        <v>11</v>
      </c>
      <c r="Q4" s="275">
        <v>12</v>
      </c>
      <c r="R4" s="275">
        <v>13</v>
      </c>
      <c r="S4" s="275">
        <v>14</v>
      </c>
    </row>
    <row r="5" spans="2:19" x14ac:dyDescent="0.3">
      <c r="B5" s="685" t="s">
        <v>189</v>
      </c>
      <c r="C5" s="686"/>
      <c r="D5" s="686"/>
      <c r="E5" s="686"/>
      <c r="F5" s="686"/>
      <c r="G5" s="686"/>
      <c r="H5" s="686"/>
      <c r="I5" s="686"/>
      <c r="J5" s="686"/>
      <c r="K5" s="686"/>
      <c r="L5" s="686"/>
      <c r="M5" s="686"/>
      <c r="N5" s="686"/>
      <c r="O5" s="686"/>
      <c r="P5" s="686"/>
      <c r="Q5" s="686"/>
      <c r="R5" s="686"/>
      <c r="S5" s="686"/>
    </row>
    <row r="6" spans="2:19" x14ac:dyDescent="0.3">
      <c r="B6" s="276" t="s">
        <v>335</v>
      </c>
      <c r="C6" s="277" t="s">
        <v>336</v>
      </c>
      <c r="D6" s="278">
        <f>SUM(F6:S6)</f>
        <v>18655.526000000002</v>
      </c>
      <c r="E6" s="278"/>
      <c r="F6" s="278">
        <v>1250</v>
      </c>
      <c r="G6" s="277">
        <v>1300</v>
      </c>
      <c r="H6" s="277">
        <v>1400</v>
      </c>
      <c r="I6" s="277">
        <v>1500</v>
      </c>
      <c r="J6" s="277">
        <v>1500</v>
      </c>
      <c r="K6" s="277">
        <v>1500</v>
      </c>
      <c r="L6" s="277">
        <v>1500</v>
      </c>
      <c r="M6" s="277">
        <v>1500</v>
      </c>
      <c r="N6" s="277">
        <v>1500</v>
      </c>
      <c r="O6" s="277">
        <v>1500</v>
      </c>
      <c r="P6" s="277">
        <v>1500</v>
      </c>
      <c r="Q6" s="277">
        <v>1500</v>
      </c>
      <c r="R6" s="277">
        <v>800</v>
      </c>
      <c r="S6" s="278">
        <v>405.52600000000001</v>
      </c>
    </row>
    <row r="7" spans="2:19" x14ac:dyDescent="0.3">
      <c r="B7" s="276" t="s">
        <v>337</v>
      </c>
      <c r="C7" s="277" t="s">
        <v>2</v>
      </c>
      <c r="D7" s="278">
        <v>1.8003577499849217</v>
      </c>
      <c r="E7" s="278"/>
      <c r="F7" s="278">
        <f t="shared" ref="F7:S11" si="0">$D7</f>
        <v>1.8003577499849217</v>
      </c>
      <c r="G7" s="278">
        <f t="shared" si="0"/>
        <v>1.8003577499849217</v>
      </c>
      <c r="H7" s="278">
        <f t="shared" si="0"/>
        <v>1.8003577499849217</v>
      </c>
      <c r="I7" s="278">
        <f t="shared" si="0"/>
        <v>1.8003577499849217</v>
      </c>
      <c r="J7" s="278">
        <f t="shared" si="0"/>
        <v>1.8003577499849217</v>
      </c>
      <c r="K7" s="278">
        <f t="shared" si="0"/>
        <v>1.8003577499849217</v>
      </c>
      <c r="L7" s="278">
        <f t="shared" si="0"/>
        <v>1.8003577499849217</v>
      </c>
      <c r="M7" s="278">
        <f t="shared" si="0"/>
        <v>1.8003577499849217</v>
      </c>
      <c r="N7" s="278">
        <f t="shared" si="0"/>
        <v>1.8003577499849217</v>
      </c>
      <c r="O7" s="278">
        <f t="shared" si="0"/>
        <v>1.8003577499849217</v>
      </c>
      <c r="P7" s="278">
        <f t="shared" si="0"/>
        <v>1.8003577499849217</v>
      </c>
      <c r="Q7" s="278">
        <f t="shared" si="0"/>
        <v>1.8003577499849217</v>
      </c>
      <c r="R7" s="278">
        <f t="shared" si="0"/>
        <v>1.8003577499849217</v>
      </c>
      <c r="S7" s="278">
        <f t="shared" si="0"/>
        <v>1.8003577499849217</v>
      </c>
    </row>
    <row r="8" spans="2:19" x14ac:dyDescent="0.3">
      <c r="B8" s="276" t="s">
        <v>338</v>
      </c>
      <c r="C8" s="277" t="s">
        <v>2</v>
      </c>
      <c r="D8" s="278">
        <v>3.5521212213778375</v>
      </c>
      <c r="E8" s="278"/>
      <c r="F8" s="278">
        <f t="shared" si="0"/>
        <v>3.5521212213778375</v>
      </c>
      <c r="G8" s="278">
        <f t="shared" si="0"/>
        <v>3.5521212213778375</v>
      </c>
      <c r="H8" s="278">
        <f t="shared" si="0"/>
        <v>3.5521212213778375</v>
      </c>
      <c r="I8" s="278">
        <f t="shared" si="0"/>
        <v>3.5521212213778375</v>
      </c>
      <c r="J8" s="278">
        <f t="shared" si="0"/>
        <v>3.5521212213778375</v>
      </c>
      <c r="K8" s="278">
        <f t="shared" si="0"/>
        <v>3.5521212213778375</v>
      </c>
      <c r="L8" s="278">
        <f t="shared" si="0"/>
        <v>3.5521212213778375</v>
      </c>
      <c r="M8" s="278">
        <f t="shared" si="0"/>
        <v>3.5521212213778375</v>
      </c>
      <c r="N8" s="278">
        <f t="shared" si="0"/>
        <v>3.5521212213778375</v>
      </c>
      <c r="O8" s="278">
        <f t="shared" si="0"/>
        <v>3.5521212213778375</v>
      </c>
      <c r="P8" s="278">
        <f t="shared" si="0"/>
        <v>3.5521212213778375</v>
      </c>
      <c r="Q8" s="278">
        <f t="shared" si="0"/>
        <v>3.5521212213778375</v>
      </c>
      <c r="R8" s="278">
        <f t="shared" si="0"/>
        <v>3.5521212213778375</v>
      </c>
      <c r="S8" s="278">
        <f t="shared" si="0"/>
        <v>3.5521212213778375</v>
      </c>
    </row>
    <row r="9" spans="2:19" x14ac:dyDescent="0.3">
      <c r="B9" s="276" t="s">
        <v>339</v>
      </c>
      <c r="C9" s="277" t="s">
        <v>2</v>
      </c>
      <c r="D9" s="278">
        <v>1.0972041671496531</v>
      </c>
      <c r="E9" s="278"/>
      <c r="F9" s="278">
        <f t="shared" si="0"/>
        <v>1.0972041671496531</v>
      </c>
      <c r="G9" s="278">
        <f t="shared" si="0"/>
        <v>1.0972041671496531</v>
      </c>
      <c r="H9" s="278">
        <f t="shared" si="0"/>
        <v>1.0972041671496531</v>
      </c>
      <c r="I9" s="278">
        <f t="shared" si="0"/>
        <v>1.0972041671496531</v>
      </c>
      <c r="J9" s="278">
        <f t="shared" si="0"/>
        <v>1.0972041671496531</v>
      </c>
      <c r="K9" s="278">
        <f t="shared" si="0"/>
        <v>1.0972041671496531</v>
      </c>
      <c r="L9" s="278">
        <f t="shared" si="0"/>
        <v>1.0972041671496531</v>
      </c>
      <c r="M9" s="278">
        <f t="shared" si="0"/>
        <v>1.0972041671496531</v>
      </c>
      <c r="N9" s="278">
        <f t="shared" si="0"/>
        <v>1.0972041671496531</v>
      </c>
      <c r="O9" s="278">
        <f t="shared" si="0"/>
        <v>1.0972041671496531</v>
      </c>
      <c r="P9" s="278">
        <f t="shared" si="0"/>
        <v>1.0972041671496531</v>
      </c>
      <c r="Q9" s="278">
        <f t="shared" si="0"/>
        <v>1.0972041671496531</v>
      </c>
      <c r="R9" s="278">
        <f t="shared" si="0"/>
        <v>1.0972041671496531</v>
      </c>
      <c r="S9" s="278">
        <f t="shared" si="0"/>
        <v>1.0972041671496531</v>
      </c>
    </row>
    <row r="10" spans="2:19" x14ac:dyDescent="0.3">
      <c r="B10" s="276" t="s">
        <v>340</v>
      </c>
      <c r="C10" s="277" t="s">
        <v>223</v>
      </c>
      <c r="D10" s="278">
        <v>0.74407455674647716</v>
      </c>
      <c r="E10" s="278"/>
      <c r="F10" s="278">
        <f t="shared" si="0"/>
        <v>0.74407455674647716</v>
      </c>
      <c r="G10" s="278">
        <f t="shared" si="0"/>
        <v>0.74407455674647716</v>
      </c>
      <c r="H10" s="278">
        <f t="shared" si="0"/>
        <v>0.74407455674647716</v>
      </c>
      <c r="I10" s="278">
        <f t="shared" si="0"/>
        <v>0.74407455674647716</v>
      </c>
      <c r="J10" s="278">
        <f t="shared" si="0"/>
        <v>0.74407455674647716</v>
      </c>
      <c r="K10" s="278">
        <f t="shared" si="0"/>
        <v>0.74407455674647716</v>
      </c>
      <c r="L10" s="278">
        <f t="shared" si="0"/>
        <v>0.74407455674647716</v>
      </c>
      <c r="M10" s="278">
        <f t="shared" si="0"/>
        <v>0.74407455674647716</v>
      </c>
      <c r="N10" s="278">
        <f t="shared" si="0"/>
        <v>0.74407455674647716</v>
      </c>
      <c r="O10" s="278">
        <f t="shared" si="0"/>
        <v>0.74407455674647716</v>
      </c>
      <c r="P10" s="278">
        <f t="shared" si="0"/>
        <v>0.74407455674647716</v>
      </c>
      <c r="Q10" s="278">
        <f t="shared" si="0"/>
        <v>0.74407455674647716</v>
      </c>
      <c r="R10" s="278">
        <f t="shared" si="0"/>
        <v>0.74407455674647716</v>
      </c>
      <c r="S10" s="278">
        <f t="shared" si="0"/>
        <v>0.74407455674647716</v>
      </c>
    </row>
    <row r="11" spans="2:19" x14ac:dyDescent="0.3">
      <c r="B11" s="276" t="s">
        <v>341</v>
      </c>
      <c r="C11" s="277" t="s">
        <v>223</v>
      </c>
      <c r="D11" s="278">
        <v>84.409108447164627</v>
      </c>
      <c r="E11" s="278"/>
      <c r="F11" s="278">
        <f t="shared" si="0"/>
        <v>84.409108447164627</v>
      </c>
      <c r="G11" s="278">
        <f t="shared" si="0"/>
        <v>84.409108447164627</v>
      </c>
      <c r="H11" s="278">
        <f t="shared" si="0"/>
        <v>84.409108447164627</v>
      </c>
      <c r="I11" s="278">
        <f t="shared" si="0"/>
        <v>84.409108447164627</v>
      </c>
      <c r="J11" s="278">
        <f t="shared" si="0"/>
        <v>84.409108447164627</v>
      </c>
      <c r="K11" s="278">
        <f t="shared" si="0"/>
        <v>84.409108447164627</v>
      </c>
      <c r="L11" s="278">
        <f t="shared" si="0"/>
        <v>84.409108447164627</v>
      </c>
      <c r="M11" s="278">
        <f t="shared" si="0"/>
        <v>84.409108447164627</v>
      </c>
      <c r="N11" s="278">
        <f t="shared" si="0"/>
        <v>84.409108447164627</v>
      </c>
      <c r="O11" s="278">
        <f t="shared" si="0"/>
        <v>84.409108447164627</v>
      </c>
      <c r="P11" s="278">
        <f t="shared" si="0"/>
        <v>84.409108447164627</v>
      </c>
      <c r="Q11" s="278">
        <f t="shared" si="0"/>
        <v>84.409108447164627</v>
      </c>
      <c r="R11" s="278">
        <f t="shared" si="0"/>
        <v>84.409108447164627</v>
      </c>
      <c r="S11" s="278">
        <f t="shared" si="0"/>
        <v>84.409108447164627</v>
      </c>
    </row>
    <row r="12" spans="2:19" x14ac:dyDescent="0.3">
      <c r="B12" s="276" t="s">
        <v>342</v>
      </c>
      <c r="C12" s="277" t="s">
        <v>343</v>
      </c>
      <c r="D12" s="278">
        <v>335.86599999999999</v>
      </c>
      <c r="E12" s="278"/>
      <c r="F12" s="278">
        <f t="shared" ref="F12:S12" si="1">F6/$D6*$D12</f>
        <v>22.504457928444364</v>
      </c>
      <c r="G12" s="278">
        <f t="shared" si="1"/>
        <v>23.40463624558214</v>
      </c>
      <c r="H12" s="278">
        <f t="shared" si="1"/>
        <v>25.204992879857688</v>
      </c>
      <c r="I12" s="278">
        <f t="shared" si="1"/>
        <v>27.005349514133236</v>
      </c>
      <c r="J12" s="278">
        <f t="shared" si="1"/>
        <v>27.005349514133236</v>
      </c>
      <c r="K12" s="278">
        <f t="shared" si="1"/>
        <v>27.005349514133236</v>
      </c>
      <c r="L12" s="278">
        <f t="shared" si="1"/>
        <v>27.005349514133236</v>
      </c>
      <c r="M12" s="278">
        <f t="shared" si="1"/>
        <v>27.005349514133236</v>
      </c>
      <c r="N12" s="278">
        <f t="shared" si="1"/>
        <v>27.005349514133236</v>
      </c>
      <c r="O12" s="278">
        <f t="shared" si="1"/>
        <v>27.005349514133236</v>
      </c>
      <c r="P12" s="278">
        <f t="shared" si="1"/>
        <v>27.005349514133236</v>
      </c>
      <c r="Q12" s="278">
        <f t="shared" si="1"/>
        <v>27.005349514133236</v>
      </c>
      <c r="R12" s="278">
        <f t="shared" si="1"/>
        <v>14.402853074204391</v>
      </c>
      <c r="S12" s="278">
        <f t="shared" si="1"/>
        <v>7.3009142447122626</v>
      </c>
    </row>
    <row r="13" spans="2:19" x14ac:dyDescent="0.3">
      <c r="B13" s="276" t="s">
        <v>344</v>
      </c>
      <c r="C13" s="277" t="s">
        <v>343</v>
      </c>
      <c r="D13" s="278">
        <v>662.66700000000003</v>
      </c>
      <c r="E13" s="278"/>
      <c r="F13" s="278">
        <f t="shared" ref="F13:S13" si="2">F6/$D6*$D13</f>
        <v>44.401522101279802</v>
      </c>
      <c r="G13" s="278">
        <f t="shared" si="2"/>
        <v>46.177582985330993</v>
      </c>
      <c r="H13" s="278">
        <f t="shared" si="2"/>
        <v>49.729704753433381</v>
      </c>
      <c r="I13" s="278">
        <f t="shared" si="2"/>
        <v>53.281826521535763</v>
      </c>
      <c r="J13" s="278">
        <f t="shared" si="2"/>
        <v>53.281826521535763</v>
      </c>
      <c r="K13" s="278">
        <f t="shared" si="2"/>
        <v>53.281826521535763</v>
      </c>
      <c r="L13" s="278">
        <f t="shared" si="2"/>
        <v>53.281826521535763</v>
      </c>
      <c r="M13" s="278">
        <f t="shared" si="2"/>
        <v>53.281826521535763</v>
      </c>
      <c r="N13" s="278">
        <f t="shared" si="2"/>
        <v>53.281826521535763</v>
      </c>
      <c r="O13" s="278">
        <f t="shared" si="2"/>
        <v>53.281826521535763</v>
      </c>
      <c r="P13" s="278">
        <f t="shared" si="2"/>
        <v>53.281826521535763</v>
      </c>
      <c r="Q13" s="278">
        <f t="shared" si="2"/>
        <v>53.281826521535763</v>
      </c>
      <c r="R13" s="278">
        <f t="shared" si="2"/>
        <v>28.416974144819072</v>
      </c>
      <c r="S13" s="278">
        <f t="shared" si="2"/>
        <v>14.404777321314874</v>
      </c>
    </row>
    <row r="14" spans="2:19" x14ac:dyDescent="0.3">
      <c r="B14" s="276" t="s">
        <v>345</v>
      </c>
      <c r="C14" s="277" t="s">
        <v>343</v>
      </c>
      <c r="D14" s="278">
        <v>204.68899999999999</v>
      </c>
      <c r="E14" s="278"/>
      <c r="F14" s="278">
        <f>F6/$D6*$D14</f>
        <v>13.715038107207484</v>
      </c>
      <c r="G14" s="278">
        <f t="shared" ref="G14:S14" si="3">G6/$D6*$D14</f>
        <v>14.263639631495781</v>
      </c>
      <c r="H14" s="278">
        <f t="shared" si="3"/>
        <v>15.360842680072381</v>
      </c>
      <c r="I14" s="278">
        <f t="shared" si="3"/>
        <v>16.45804572864898</v>
      </c>
      <c r="J14" s="278">
        <f t="shared" si="3"/>
        <v>16.45804572864898</v>
      </c>
      <c r="K14" s="278">
        <f t="shared" si="3"/>
        <v>16.45804572864898</v>
      </c>
      <c r="L14" s="278">
        <f t="shared" si="3"/>
        <v>16.45804572864898</v>
      </c>
      <c r="M14" s="278">
        <f t="shared" si="3"/>
        <v>16.45804572864898</v>
      </c>
      <c r="N14" s="278">
        <f t="shared" si="3"/>
        <v>16.45804572864898</v>
      </c>
      <c r="O14" s="278">
        <f t="shared" si="3"/>
        <v>16.45804572864898</v>
      </c>
      <c r="P14" s="278">
        <f t="shared" si="3"/>
        <v>16.45804572864898</v>
      </c>
      <c r="Q14" s="278">
        <f t="shared" si="3"/>
        <v>16.45804572864898</v>
      </c>
      <c r="R14" s="278">
        <f t="shared" si="3"/>
        <v>8.7776243886127876</v>
      </c>
      <c r="S14" s="278">
        <f t="shared" si="3"/>
        <v>4.4494436347707369</v>
      </c>
    </row>
    <row r="15" spans="2:19" x14ac:dyDescent="0.3">
      <c r="B15" s="276" t="s">
        <v>346</v>
      </c>
      <c r="C15" s="277" t="s">
        <v>71</v>
      </c>
      <c r="D15" s="277">
        <v>13881</v>
      </c>
      <c r="E15" s="277"/>
      <c r="F15" s="278">
        <f t="shared" ref="F15:S15" si="4">F6/$D6*$D15</f>
        <v>930.08634546139297</v>
      </c>
      <c r="G15" s="278">
        <f t="shared" si="4"/>
        <v>967.28979927984869</v>
      </c>
      <c r="H15" s="278">
        <f t="shared" si="4"/>
        <v>1041.6967069167601</v>
      </c>
      <c r="I15" s="278">
        <f t="shared" si="4"/>
        <v>1116.1036145536716</v>
      </c>
      <c r="J15" s="278">
        <f t="shared" si="4"/>
        <v>1116.1036145536716</v>
      </c>
      <c r="K15" s="278">
        <f t="shared" si="4"/>
        <v>1116.1036145536716</v>
      </c>
      <c r="L15" s="278">
        <f t="shared" si="4"/>
        <v>1116.1036145536716</v>
      </c>
      <c r="M15" s="278">
        <f t="shared" si="4"/>
        <v>1116.1036145536716</v>
      </c>
      <c r="N15" s="278">
        <f t="shared" si="4"/>
        <v>1116.1036145536716</v>
      </c>
      <c r="O15" s="278">
        <f t="shared" si="4"/>
        <v>1116.1036145536716</v>
      </c>
      <c r="P15" s="278">
        <f t="shared" si="4"/>
        <v>1116.1036145536716</v>
      </c>
      <c r="Q15" s="278">
        <f t="shared" si="4"/>
        <v>1116.1036145536716</v>
      </c>
      <c r="R15" s="278">
        <f t="shared" si="4"/>
        <v>595.25526109529142</v>
      </c>
      <c r="S15" s="278">
        <f t="shared" si="4"/>
        <v>301.73935626366148</v>
      </c>
    </row>
    <row r="16" spans="2:19" x14ac:dyDescent="0.3">
      <c r="B16" s="276" t="s">
        <v>347</v>
      </c>
      <c r="C16" s="277" t="s">
        <v>71</v>
      </c>
      <c r="D16" s="279">
        <v>1574696</v>
      </c>
      <c r="E16" s="279"/>
      <c r="F16" s="278">
        <f t="shared" ref="F16:S16" si="5">F6/$D6*$D16</f>
        <v>105511.36430031509</v>
      </c>
      <c r="G16" s="278">
        <f t="shared" si="5"/>
        <v>109731.8188723277</v>
      </c>
      <c r="H16" s="278">
        <f t="shared" si="5"/>
        <v>118172.72801635291</v>
      </c>
      <c r="I16" s="278">
        <f t="shared" si="5"/>
        <v>126613.63716037812</v>
      </c>
      <c r="J16" s="278">
        <f t="shared" si="5"/>
        <v>126613.63716037812</v>
      </c>
      <c r="K16" s="278">
        <f t="shared" si="5"/>
        <v>126613.63716037812</v>
      </c>
      <c r="L16" s="278">
        <f t="shared" si="5"/>
        <v>126613.63716037812</v>
      </c>
      <c r="M16" s="278">
        <f t="shared" si="5"/>
        <v>126613.63716037812</v>
      </c>
      <c r="N16" s="278">
        <f t="shared" si="5"/>
        <v>126613.63716037812</v>
      </c>
      <c r="O16" s="278">
        <f t="shared" si="5"/>
        <v>126613.63716037812</v>
      </c>
      <c r="P16" s="278">
        <f t="shared" si="5"/>
        <v>126613.63716037812</v>
      </c>
      <c r="Q16" s="278">
        <f t="shared" si="5"/>
        <v>126613.63716037812</v>
      </c>
      <c r="R16" s="278">
        <f t="shared" si="5"/>
        <v>67527.273152201655</v>
      </c>
      <c r="S16" s="278">
        <f t="shared" si="5"/>
        <v>34230.081215399659</v>
      </c>
    </row>
    <row r="17" spans="2:19" ht="27.6" x14ac:dyDescent="0.3">
      <c r="B17" s="276" t="s">
        <v>348</v>
      </c>
      <c r="C17" s="277" t="s">
        <v>349</v>
      </c>
      <c r="D17" s="279">
        <f>SUM(F17:S17)</f>
        <v>826.43980180000017</v>
      </c>
      <c r="E17" s="279"/>
      <c r="F17" s="280">
        <f>F6*44.3/1000</f>
        <v>55.375</v>
      </c>
      <c r="G17" s="280">
        <f t="shared" ref="G17:S17" si="6">G6*44.3/1000</f>
        <v>57.589999999999989</v>
      </c>
      <c r="H17" s="280">
        <f t="shared" si="6"/>
        <v>62.019999999999996</v>
      </c>
      <c r="I17" s="280">
        <f t="shared" si="6"/>
        <v>66.45</v>
      </c>
      <c r="J17" s="280">
        <f t="shared" si="6"/>
        <v>66.45</v>
      </c>
      <c r="K17" s="280">
        <f t="shared" si="6"/>
        <v>66.45</v>
      </c>
      <c r="L17" s="280">
        <f t="shared" si="6"/>
        <v>66.45</v>
      </c>
      <c r="M17" s="280">
        <f t="shared" si="6"/>
        <v>66.45</v>
      </c>
      <c r="N17" s="280">
        <f t="shared" si="6"/>
        <v>66.45</v>
      </c>
      <c r="O17" s="280">
        <f t="shared" si="6"/>
        <v>66.45</v>
      </c>
      <c r="P17" s="280">
        <f t="shared" si="6"/>
        <v>66.45</v>
      </c>
      <c r="Q17" s="280">
        <f t="shared" si="6"/>
        <v>66.45</v>
      </c>
      <c r="R17" s="280">
        <f t="shared" si="6"/>
        <v>35.44</v>
      </c>
      <c r="S17" s="280">
        <f t="shared" si="6"/>
        <v>17.9648018</v>
      </c>
    </row>
    <row r="18" spans="2:19" x14ac:dyDescent="0.3">
      <c r="B18" s="276" t="s">
        <v>350</v>
      </c>
      <c r="C18" s="277" t="s">
        <v>349</v>
      </c>
      <c r="D18" s="277">
        <v>65.986000000000004</v>
      </c>
      <c r="E18" s="277"/>
      <c r="F18" s="280">
        <v>47.497</v>
      </c>
      <c r="G18" s="281">
        <v>9.3659999999999997</v>
      </c>
      <c r="H18" s="277"/>
      <c r="I18" s="277"/>
      <c r="J18" s="277"/>
      <c r="K18" s="277"/>
      <c r="L18" s="277"/>
      <c r="M18" s="277"/>
      <c r="N18" s="277"/>
      <c r="O18" s="277"/>
      <c r="P18" s="277"/>
      <c r="Q18" s="277"/>
      <c r="R18" s="277"/>
      <c r="S18" s="277"/>
    </row>
    <row r="19" spans="2:19" s="282" customFormat="1" x14ac:dyDescent="0.3">
      <c r="B19" s="683"/>
      <c r="C19" s="684"/>
      <c r="D19" s="684"/>
      <c r="E19" s="684"/>
      <c r="F19" s="684"/>
      <c r="G19" s="684"/>
      <c r="H19" s="684"/>
      <c r="I19" s="684"/>
      <c r="J19" s="684"/>
      <c r="K19" s="684"/>
      <c r="L19" s="684"/>
      <c r="M19" s="684"/>
      <c r="N19" s="684"/>
      <c r="O19" s="684"/>
      <c r="P19" s="684"/>
      <c r="Q19" s="684"/>
      <c r="R19" s="684"/>
      <c r="S19" s="684"/>
    </row>
    <row r="20" spans="2:19" s="282" customFormat="1" x14ac:dyDescent="0.3">
      <c r="B20" s="685" t="s">
        <v>192</v>
      </c>
      <c r="C20" s="686"/>
      <c r="D20" s="686"/>
      <c r="E20" s="686"/>
      <c r="F20" s="686"/>
      <c r="G20" s="686"/>
      <c r="H20" s="686"/>
      <c r="I20" s="686"/>
      <c r="J20" s="686"/>
      <c r="K20" s="686"/>
      <c r="L20" s="686"/>
      <c r="M20" s="686"/>
      <c r="N20" s="686"/>
      <c r="O20" s="686"/>
      <c r="P20" s="686"/>
      <c r="Q20" s="686"/>
      <c r="R20" s="686"/>
      <c r="S20" s="686"/>
    </row>
    <row r="21" spans="2:19" s="282" customFormat="1" x14ac:dyDescent="0.3">
      <c r="B21" s="276" t="s">
        <v>335</v>
      </c>
      <c r="C21" s="277" t="s">
        <v>336</v>
      </c>
      <c r="D21" s="278">
        <f>SUM(F21:S21)</f>
        <v>17377.579000000002</v>
      </c>
      <c r="E21" s="278"/>
      <c r="F21" s="278">
        <v>1250</v>
      </c>
      <c r="G21" s="277">
        <v>1300</v>
      </c>
      <c r="H21" s="277">
        <v>1400</v>
      </c>
      <c r="I21" s="277">
        <v>1500</v>
      </c>
      <c r="J21" s="277">
        <v>1500</v>
      </c>
      <c r="K21" s="277">
        <v>1500</v>
      </c>
      <c r="L21" s="277">
        <v>1500</v>
      </c>
      <c r="M21" s="277">
        <v>1500</v>
      </c>
      <c r="N21" s="277">
        <v>1500</v>
      </c>
      <c r="O21" s="277">
        <v>1500</v>
      </c>
      <c r="P21" s="277">
        <v>1500</v>
      </c>
      <c r="Q21" s="277">
        <v>800</v>
      </c>
      <c r="R21" s="277">
        <v>627.57899999999995</v>
      </c>
      <c r="S21" s="278"/>
    </row>
    <row r="22" spans="2:19" s="282" customFormat="1" x14ac:dyDescent="0.3">
      <c r="B22" s="276" t="s">
        <v>337</v>
      </c>
      <c r="C22" s="277" t="s">
        <v>2</v>
      </c>
      <c r="D22" s="278">
        <v>1.8831900214786601</v>
      </c>
      <c r="E22" s="278"/>
      <c r="F22" s="278">
        <f t="shared" ref="F22:R26" si="7">$D22</f>
        <v>1.8831900214786601</v>
      </c>
      <c r="G22" s="278">
        <f t="shared" si="7"/>
        <v>1.8831900214786601</v>
      </c>
      <c r="H22" s="278">
        <f t="shared" si="7"/>
        <v>1.8831900214786601</v>
      </c>
      <c r="I22" s="278">
        <f t="shared" si="7"/>
        <v>1.8831900214786601</v>
      </c>
      <c r="J22" s="278">
        <f t="shared" si="7"/>
        <v>1.8831900214786601</v>
      </c>
      <c r="K22" s="278">
        <f t="shared" si="7"/>
        <v>1.8831900214786601</v>
      </c>
      <c r="L22" s="278">
        <f t="shared" si="7"/>
        <v>1.8831900214786601</v>
      </c>
      <c r="M22" s="278">
        <f t="shared" si="7"/>
        <v>1.8831900214786601</v>
      </c>
      <c r="N22" s="278">
        <f t="shared" si="7"/>
        <v>1.8831900214786601</v>
      </c>
      <c r="O22" s="278">
        <f t="shared" si="7"/>
        <v>1.8831900214786601</v>
      </c>
      <c r="P22" s="278">
        <f t="shared" si="7"/>
        <v>1.8831900214786601</v>
      </c>
      <c r="Q22" s="278">
        <f t="shared" si="7"/>
        <v>1.8831900214786601</v>
      </c>
      <c r="R22" s="278">
        <f t="shared" si="7"/>
        <v>1.8831900214786601</v>
      </c>
      <c r="S22" s="278"/>
    </row>
    <row r="23" spans="2:19" s="282" customFormat="1" x14ac:dyDescent="0.3">
      <c r="B23" s="276" t="s">
        <v>338</v>
      </c>
      <c r="C23" s="277" t="s">
        <v>2</v>
      </c>
      <c r="D23" s="278">
        <v>3.8023076842219998</v>
      </c>
      <c r="E23" s="278"/>
      <c r="F23" s="278">
        <f t="shared" si="7"/>
        <v>3.8023076842219998</v>
      </c>
      <c r="G23" s="278">
        <f t="shared" si="7"/>
        <v>3.8023076842219998</v>
      </c>
      <c r="H23" s="278">
        <f t="shared" si="7"/>
        <v>3.8023076842219998</v>
      </c>
      <c r="I23" s="278">
        <f t="shared" si="7"/>
        <v>3.8023076842219998</v>
      </c>
      <c r="J23" s="278">
        <f t="shared" si="7"/>
        <v>3.8023076842219998</v>
      </c>
      <c r="K23" s="278">
        <f t="shared" si="7"/>
        <v>3.8023076842219998</v>
      </c>
      <c r="L23" s="278">
        <f t="shared" si="7"/>
        <v>3.8023076842219998</v>
      </c>
      <c r="M23" s="278">
        <f t="shared" si="7"/>
        <v>3.8023076842219998</v>
      </c>
      <c r="N23" s="278">
        <f t="shared" si="7"/>
        <v>3.8023076842219998</v>
      </c>
      <c r="O23" s="278">
        <f t="shared" si="7"/>
        <v>3.8023076842219998</v>
      </c>
      <c r="P23" s="278">
        <f t="shared" si="7"/>
        <v>3.8023076842219998</v>
      </c>
      <c r="Q23" s="278">
        <f t="shared" si="7"/>
        <v>3.8023076842219998</v>
      </c>
      <c r="R23" s="278">
        <f t="shared" si="7"/>
        <v>3.8023076842219998</v>
      </c>
      <c r="S23" s="278"/>
    </row>
    <row r="24" spans="2:19" s="282" customFormat="1" x14ac:dyDescent="0.3">
      <c r="B24" s="276" t="s">
        <v>339</v>
      </c>
      <c r="C24" s="277" t="s">
        <v>2</v>
      </c>
      <c r="D24" s="278">
        <v>1.1733179585265401</v>
      </c>
      <c r="E24" s="278"/>
      <c r="F24" s="278">
        <f t="shared" si="7"/>
        <v>1.1733179585265401</v>
      </c>
      <c r="G24" s="278">
        <f t="shared" si="7"/>
        <v>1.1733179585265401</v>
      </c>
      <c r="H24" s="278">
        <f t="shared" si="7"/>
        <v>1.1733179585265401</v>
      </c>
      <c r="I24" s="278">
        <f t="shared" si="7"/>
        <v>1.1733179585265401</v>
      </c>
      <c r="J24" s="278">
        <f t="shared" si="7"/>
        <v>1.1733179585265401</v>
      </c>
      <c r="K24" s="278">
        <f t="shared" si="7"/>
        <v>1.1733179585265401</v>
      </c>
      <c r="L24" s="278">
        <f t="shared" si="7"/>
        <v>1.1733179585265401</v>
      </c>
      <c r="M24" s="278">
        <f t="shared" si="7"/>
        <v>1.1733179585265401</v>
      </c>
      <c r="N24" s="278">
        <f t="shared" si="7"/>
        <v>1.1733179585265401</v>
      </c>
      <c r="O24" s="278">
        <f t="shared" si="7"/>
        <v>1.1733179585265401</v>
      </c>
      <c r="P24" s="278">
        <f t="shared" si="7"/>
        <v>1.1733179585265401</v>
      </c>
      <c r="Q24" s="278">
        <f t="shared" si="7"/>
        <v>1.1733179585265401</v>
      </c>
      <c r="R24" s="278">
        <f t="shared" si="7"/>
        <v>1.1733179585265401</v>
      </c>
      <c r="S24" s="278"/>
    </row>
    <row r="25" spans="2:19" s="282" customFormat="1" x14ac:dyDescent="0.3">
      <c r="B25" s="276" t="s">
        <v>340</v>
      </c>
      <c r="C25" s="277" t="s">
        <v>223</v>
      </c>
      <c r="D25" s="278">
        <v>0.79059771998612005</v>
      </c>
      <c r="E25" s="278"/>
      <c r="F25" s="278">
        <f t="shared" si="7"/>
        <v>0.79059771998612005</v>
      </c>
      <c r="G25" s="278">
        <f t="shared" si="7"/>
        <v>0.79059771998612005</v>
      </c>
      <c r="H25" s="278">
        <f t="shared" si="7"/>
        <v>0.79059771998612005</v>
      </c>
      <c r="I25" s="278">
        <f t="shared" si="7"/>
        <v>0.79059771998612005</v>
      </c>
      <c r="J25" s="278">
        <f t="shared" si="7"/>
        <v>0.79059771998612005</v>
      </c>
      <c r="K25" s="278">
        <f t="shared" si="7"/>
        <v>0.79059771998612005</v>
      </c>
      <c r="L25" s="278">
        <f t="shared" si="7"/>
        <v>0.79059771998612005</v>
      </c>
      <c r="M25" s="278">
        <f t="shared" si="7"/>
        <v>0.79059771998612005</v>
      </c>
      <c r="N25" s="278">
        <f t="shared" si="7"/>
        <v>0.79059771998612005</v>
      </c>
      <c r="O25" s="278">
        <f t="shared" si="7"/>
        <v>0.79059771998612005</v>
      </c>
      <c r="P25" s="278">
        <f t="shared" si="7"/>
        <v>0.79059771998612005</v>
      </c>
      <c r="Q25" s="278">
        <f t="shared" si="7"/>
        <v>0.79059771998612005</v>
      </c>
      <c r="R25" s="278">
        <f t="shared" si="7"/>
        <v>0.79059771998612005</v>
      </c>
      <c r="S25" s="278"/>
    </row>
    <row r="26" spans="2:19" s="282" customFormat="1" x14ac:dyDescent="0.3">
      <c r="B26" s="276" t="s">
        <v>341</v>
      </c>
      <c r="C26" s="277" t="s">
        <v>223</v>
      </c>
      <c r="D26" s="278">
        <v>90.135197239017899</v>
      </c>
      <c r="E26" s="278"/>
      <c r="F26" s="278">
        <f t="shared" si="7"/>
        <v>90.135197239017899</v>
      </c>
      <c r="G26" s="278">
        <f t="shared" si="7"/>
        <v>90.135197239017899</v>
      </c>
      <c r="H26" s="278">
        <f t="shared" si="7"/>
        <v>90.135197239017899</v>
      </c>
      <c r="I26" s="278">
        <f t="shared" si="7"/>
        <v>90.135197239017899</v>
      </c>
      <c r="J26" s="278">
        <f t="shared" si="7"/>
        <v>90.135197239017899</v>
      </c>
      <c r="K26" s="278">
        <f t="shared" si="7"/>
        <v>90.135197239017899</v>
      </c>
      <c r="L26" s="278">
        <f t="shared" si="7"/>
        <v>90.135197239017899</v>
      </c>
      <c r="M26" s="278">
        <f t="shared" si="7"/>
        <v>90.135197239017899</v>
      </c>
      <c r="N26" s="278">
        <f t="shared" si="7"/>
        <v>90.135197239017899</v>
      </c>
      <c r="O26" s="278">
        <f t="shared" si="7"/>
        <v>90.135197239017899</v>
      </c>
      <c r="P26" s="278">
        <f t="shared" si="7"/>
        <v>90.135197239017899</v>
      </c>
      <c r="Q26" s="278">
        <f t="shared" si="7"/>
        <v>90.135197239017899</v>
      </c>
      <c r="R26" s="278">
        <f t="shared" si="7"/>
        <v>90.135197239017899</v>
      </c>
      <c r="S26" s="278"/>
    </row>
    <row r="27" spans="2:19" s="282" customFormat="1" x14ac:dyDescent="0.3">
      <c r="B27" s="276" t="s">
        <v>342</v>
      </c>
      <c r="C27" s="277" t="s">
        <v>343</v>
      </c>
      <c r="D27" s="278">
        <v>326.76900000000001</v>
      </c>
      <c r="E27" s="278"/>
      <c r="F27" s="278">
        <f t="shared" ref="F27:R27" si="8">F21/$D21*$D27</f>
        <v>23.505072254311145</v>
      </c>
      <c r="G27" s="278">
        <f t="shared" si="8"/>
        <v>24.445275144483588</v>
      </c>
      <c r="H27" s="278">
        <f t="shared" si="8"/>
        <v>26.325680924828479</v>
      </c>
      <c r="I27" s="278">
        <f t="shared" si="8"/>
        <v>28.206086705173369</v>
      </c>
      <c r="J27" s="278">
        <f t="shared" si="8"/>
        <v>28.206086705173369</v>
      </c>
      <c r="K27" s="278">
        <f t="shared" si="8"/>
        <v>28.206086705173369</v>
      </c>
      <c r="L27" s="278">
        <f t="shared" si="8"/>
        <v>28.206086705173369</v>
      </c>
      <c r="M27" s="278">
        <f t="shared" si="8"/>
        <v>28.206086705173369</v>
      </c>
      <c r="N27" s="278">
        <f t="shared" si="8"/>
        <v>28.206086705173369</v>
      </c>
      <c r="O27" s="278">
        <f t="shared" si="8"/>
        <v>28.206086705173369</v>
      </c>
      <c r="P27" s="278">
        <f t="shared" si="8"/>
        <v>28.206086705173369</v>
      </c>
      <c r="Q27" s="278">
        <f t="shared" si="8"/>
        <v>15.04324624275913</v>
      </c>
      <c r="R27" s="278">
        <f t="shared" si="8"/>
        <v>11.801031792230665</v>
      </c>
      <c r="S27" s="278"/>
    </row>
    <row r="28" spans="2:19" s="282" customFormat="1" x14ac:dyDescent="0.3">
      <c r="B28" s="276" t="s">
        <v>344</v>
      </c>
      <c r="C28" s="277" t="s">
        <v>343</v>
      </c>
      <c r="D28" s="278">
        <v>659.77300000000002</v>
      </c>
      <c r="E28" s="278"/>
      <c r="F28" s="278">
        <f t="shared" ref="F28:R28" si="9">F21/$D21*$D28</f>
        <v>47.458639088908761</v>
      </c>
      <c r="G28" s="278">
        <f t="shared" si="9"/>
        <v>49.356984652465108</v>
      </c>
      <c r="H28" s="278">
        <f t="shared" si="9"/>
        <v>53.15367577957781</v>
      </c>
      <c r="I28" s="278">
        <f t="shared" si="9"/>
        <v>56.950366906690505</v>
      </c>
      <c r="J28" s="278">
        <f t="shared" si="9"/>
        <v>56.950366906690505</v>
      </c>
      <c r="K28" s="278">
        <f t="shared" si="9"/>
        <v>56.950366906690505</v>
      </c>
      <c r="L28" s="278">
        <f t="shared" si="9"/>
        <v>56.950366906690505</v>
      </c>
      <c r="M28" s="278">
        <f t="shared" si="9"/>
        <v>56.950366906690505</v>
      </c>
      <c r="N28" s="278">
        <f t="shared" si="9"/>
        <v>56.950366906690505</v>
      </c>
      <c r="O28" s="278">
        <f t="shared" si="9"/>
        <v>56.950366906690505</v>
      </c>
      <c r="P28" s="278">
        <f t="shared" si="9"/>
        <v>56.950366906690505</v>
      </c>
      <c r="Q28" s="278">
        <f t="shared" si="9"/>
        <v>30.373529016901603</v>
      </c>
      <c r="R28" s="278">
        <f t="shared" si="9"/>
        <v>23.827236208622615</v>
      </c>
      <c r="S28" s="278"/>
    </row>
    <row r="29" spans="2:19" s="282" customFormat="1" x14ac:dyDescent="0.3">
      <c r="B29" s="276" t="s">
        <v>345</v>
      </c>
      <c r="C29" s="277" t="s">
        <v>343</v>
      </c>
      <c r="D29" s="278">
        <v>203.59299999999999</v>
      </c>
      <c r="E29" s="278"/>
      <c r="F29" s="278">
        <f>F21/$D21*$D29</f>
        <v>14.644804664677396</v>
      </c>
      <c r="G29" s="278">
        <f t="shared" ref="G29:R29" si="10">G21/$D21*$D29</f>
        <v>15.230596851264492</v>
      </c>
      <c r="H29" s="278">
        <f t="shared" si="10"/>
        <v>16.402181224438685</v>
      </c>
      <c r="I29" s="278">
        <f t="shared" si="10"/>
        <v>17.573765597612876</v>
      </c>
      <c r="J29" s="278">
        <f t="shared" si="10"/>
        <v>17.573765597612876</v>
      </c>
      <c r="K29" s="278">
        <f t="shared" si="10"/>
        <v>17.573765597612876</v>
      </c>
      <c r="L29" s="278">
        <f t="shared" si="10"/>
        <v>17.573765597612876</v>
      </c>
      <c r="M29" s="278">
        <f t="shared" si="10"/>
        <v>17.573765597612876</v>
      </c>
      <c r="N29" s="278">
        <f t="shared" si="10"/>
        <v>17.573765597612876</v>
      </c>
      <c r="O29" s="278">
        <f t="shared" si="10"/>
        <v>17.573765597612876</v>
      </c>
      <c r="P29" s="278">
        <f t="shared" si="10"/>
        <v>17.573765597612876</v>
      </c>
      <c r="Q29" s="278">
        <f t="shared" si="10"/>
        <v>9.3726749853935338</v>
      </c>
      <c r="R29" s="278">
        <f t="shared" si="10"/>
        <v>7.3526174933228603</v>
      </c>
      <c r="S29" s="278"/>
    </row>
    <row r="30" spans="2:19" s="282" customFormat="1" x14ac:dyDescent="0.3">
      <c r="B30" s="276" t="s">
        <v>346</v>
      </c>
      <c r="C30" s="277" t="s">
        <v>71</v>
      </c>
      <c r="D30" s="277">
        <v>13718</v>
      </c>
      <c r="E30" s="277"/>
      <c r="F30" s="278">
        <f t="shared" ref="F30:R30" si="11">F21/$D21*$D30</f>
        <v>986.76000839932874</v>
      </c>
      <c r="G30" s="278">
        <f t="shared" si="11"/>
        <v>1026.2304087353018</v>
      </c>
      <c r="H30" s="278">
        <f t="shared" si="11"/>
        <v>1105.1712094072482</v>
      </c>
      <c r="I30" s="278">
        <f t="shared" si="11"/>
        <v>1184.1120100791945</v>
      </c>
      <c r="J30" s="278">
        <f t="shared" si="11"/>
        <v>1184.1120100791945</v>
      </c>
      <c r="K30" s="278">
        <f t="shared" si="11"/>
        <v>1184.1120100791945</v>
      </c>
      <c r="L30" s="278">
        <f t="shared" si="11"/>
        <v>1184.1120100791945</v>
      </c>
      <c r="M30" s="278">
        <f t="shared" si="11"/>
        <v>1184.1120100791945</v>
      </c>
      <c r="N30" s="278">
        <f t="shared" si="11"/>
        <v>1184.1120100791945</v>
      </c>
      <c r="O30" s="278">
        <f t="shared" si="11"/>
        <v>1184.1120100791945</v>
      </c>
      <c r="P30" s="278">
        <f t="shared" si="11"/>
        <v>1184.1120100791945</v>
      </c>
      <c r="Q30" s="278">
        <f t="shared" si="11"/>
        <v>631.52640537557033</v>
      </c>
      <c r="R30" s="278">
        <f t="shared" si="11"/>
        <v>495.41588744899383</v>
      </c>
      <c r="S30" s="278"/>
    </row>
    <row r="31" spans="2:19" s="282" customFormat="1" x14ac:dyDescent="0.3">
      <c r="B31" s="276" t="s">
        <v>347</v>
      </c>
      <c r="C31" s="277" t="s">
        <v>71</v>
      </c>
      <c r="D31" s="279">
        <v>1564018</v>
      </c>
      <c r="E31" s="279"/>
      <c r="F31" s="278">
        <f t="shared" ref="F31:R31" si="12">F21/$D21*$D31</f>
        <v>112502.58163119269</v>
      </c>
      <c r="G31" s="278">
        <f t="shared" si="12"/>
        <v>117002.68489644041</v>
      </c>
      <c r="H31" s="278">
        <f t="shared" si="12"/>
        <v>126002.89142693581</v>
      </c>
      <c r="I31" s="278">
        <f t="shared" si="12"/>
        <v>135003.09795743122</v>
      </c>
      <c r="J31" s="278">
        <f t="shared" si="12"/>
        <v>135003.09795743122</v>
      </c>
      <c r="K31" s="278">
        <f t="shared" si="12"/>
        <v>135003.09795743122</v>
      </c>
      <c r="L31" s="278">
        <f t="shared" si="12"/>
        <v>135003.09795743122</v>
      </c>
      <c r="M31" s="278">
        <f t="shared" si="12"/>
        <v>135003.09795743122</v>
      </c>
      <c r="N31" s="278">
        <f t="shared" si="12"/>
        <v>135003.09795743122</v>
      </c>
      <c r="O31" s="278">
        <f t="shared" si="12"/>
        <v>135003.09795743122</v>
      </c>
      <c r="P31" s="278">
        <f t="shared" si="12"/>
        <v>135003.09795743122</v>
      </c>
      <c r="Q31" s="278">
        <f t="shared" si="12"/>
        <v>72001.652243963312</v>
      </c>
      <c r="R31" s="278">
        <f t="shared" si="12"/>
        <v>56483.406142017819</v>
      </c>
      <c r="S31" s="278"/>
    </row>
    <row r="32" spans="2:19" s="282" customFormat="1" ht="27.6" x14ac:dyDescent="0.3">
      <c r="B32" s="276" t="s">
        <v>348</v>
      </c>
      <c r="C32" s="277" t="s">
        <v>349</v>
      </c>
      <c r="D32" s="279">
        <f>SUM(F32:S32)</f>
        <v>769.82674970000005</v>
      </c>
      <c r="E32" s="279"/>
      <c r="F32" s="280">
        <f>F21*44.3/1000</f>
        <v>55.375</v>
      </c>
      <c r="G32" s="280">
        <f t="shared" ref="G32:R32" si="13">G21*44.3/1000</f>
        <v>57.589999999999989</v>
      </c>
      <c r="H32" s="280">
        <f t="shared" si="13"/>
        <v>62.019999999999996</v>
      </c>
      <c r="I32" s="280">
        <f t="shared" si="13"/>
        <v>66.45</v>
      </c>
      <c r="J32" s="280">
        <f t="shared" si="13"/>
        <v>66.45</v>
      </c>
      <c r="K32" s="280">
        <f t="shared" si="13"/>
        <v>66.45</v>
      </c>
      <c r="L32" s="280">
        <f t="shared" si="13"/>
        <v>66.45</v>
      </c>
      <c r="M32" s="280">
        <f t="shared" si="13"/>
        <v>66.45</v>
      </c>
      <c r="N32" s="280">
        <f t="shared" si="13"/>
        <v>66.45</v>
      </c>
      <c r="O32" s="280">
        <f t="shared" si="13"/>
        <v>66.45</v>
      </c>
      <c r="P32" s="280">
        <f t="shared" si="13"/>
        <v>66.45</v>
      </c>
      <c r="Q32" s="280">
        <f t="shared" si="13"/>
        <v>35.44</v>
      </c>
      <c r="R32" s="280">
        <f t="shared" si="13"/>
        <v>27.801749699999995</v>
      </c>
      <c r="S32" s="280"/>
    </row>
    <row r="33" spans="2:19" x14ac:dyDescent="0.3">
      <c r="B33" s="276" t="s">
        <v>350</v>
      </c>
      <c r="C33" s="277" t="s">
        <v>349</v>
      </c>
      <c r="D33" s="277">
        <v>65.986000000000004</v>
      </c>
      <c r="E33" s="277"/>
      <c r="F33" s="280">
        <v>47.497</v>
      </c>
      <c r="G33" s="281">
        <v>9.3659999999999997</v>
      </c>
      <c r="H33" s="277"/>
      <c r="I33" s="277"/>
      <c r="J33" s="277"/>
      <c r="K33" s="277"/>
      <c r="L33" s="277"/>
      <c r="M33" s="277"/>
      <c r="N33" s="277"/>
      <c r="O33" s="277"/>
      <c r="P33" s="277"/>
      <c r="Q33" s="277"/>
      <c r="R33" s="277"/>
    </row>
    <row r="34" spans="2:19" x14ac:dyDescent="0.3">
      <c r="B34" s="683"/>
      <c r="C34" s="684"/>
      <c r="D34" s="684"/>
      <c r="E34" s="684"/>
      <c r="F34" s="684"/>
      <c r="G34" s="684"/>
      <c r="H34" s="684"/>
      <c r="I34" s="684"/>
      <c r="J34" s="684"/>
      <c r="K34" s="684"/>
      <c r="L34" s="684"/>
      <c r="M34" s="684"/>
      <c r="N34" s="684"/>
      <c r="O34" s="684"/>
      <c r="P34" s="684"/>
      <c r="Q34" s="684"/>
      <c r="R34" s="684"/>
      <c r="S34" s="684"/>
    </row>
    <row r="35" spans="2:19" x14ac:dyDescent="0.3">
      <c r="B35" s="685" t="s">
        <v>194</v>
      </c>
      <c r="C35" s="686"/>
      <c r="D35" s="686"/>
      <c r="E35" s="686"/>
      <c r="F35" s="686"/>
      <c r="G35" s="686"/>
      <c r="H35" s="686"/>
      <c r="I35" s="686"/>
      <c r="J35" s="686"/>
      <c r="K35" s="686"/>
      <c r="L35" s="686"/>
      <c r="M35" s="686"/>
      <c r="N35" s="686"/>
      <c r="O35" s="686"/>
      <c r="P35" s="686"/>
      <c r="Q35" s="686"/>
      <c r="R35" s="686"/>
      <c r="S35" s="686"/>
    </row>
    <row r="36" spans="2:19" x14ac:dyDescent="0.3">
      <c r="B36" s="276" t="s">
        <v>335</v>
      </c>
      <c r="C36" s="277" t="s">
        <v>336</v>
      </c>
      <c r="D36" s="278">
        <f>SUM(F36:S36)</f>
        <v>16057.532999999999</v>
      </c>
      <c r="E36" s="278"/>
      <c r="F36" s="278">
        <v>1250</v>
      </c>
      <c r="G36" s="277">
        <v>1300</v>
      </c>
      <c r="H36" s="277">
        <v>1400</v>
      </c>
      <c r="I36" s="277">
        <v>1500</v>
      </c>
      <c r="J36" s="277">
        <v>1500</v>
      </c>
      <c r="K36" s="277">
        <v>1500</v>
      </c>
      <c r="L36" s="277">
        <v>1500</v>
      </c>
      <c r="M36" s="277">
        <v>1500</v>
      </c>
      <c r="N36" s="277">
        <v>1500</v>
      </c>
      <c r="O36" s="277">
        <v>1500</v>
      </c>
      <c r="P36" s="277">
        <v>1000</v>
      </c>
      <c r="Q36" s="277">
        <v>607.53300000000002</v>
      </c>
      <c r="R36" s="277"/>
      <c r="S36" s="278"/>
    </row>
    <row r="37" spans="2:19" x14ac:dyDescent="0.3">
      <c r="B37" s="276" t="s">
        <v>337</v>
      </c>
      <c r="C37" s="277" t="s">
        <v>2</v>
      </c>
      <c r="D37" s="278">
        <v>1.9527120080023779</v>
      </c>
      <c r="E37" s="278"/>
      <c r="F37" s="278">
        <f t="shared" ref="F37:Q41" si="14">$D37</f>
        <v>1.9527120080023779</v>
      </c>
      <c r="G37" s="278">
        <f t="shared" si="14"/>
        <v>1.9527120080023779</v>
      </c>
      <c r="H37" s="278">
        <f t="shared" si="14"/>
        <v>1.9527120080023779</v>
      </c>
      <c r="I37" s="278">
        <f t="shared" si="14"/>
        <v>1.9527120080023779</v>
      </c>
      <c r="J37" s="278">
        <f t="shared" si="14"/>
        <v>1.9527120080023779</v>
      </c>
      <c r="K37" s="278">
        <f t="shared" si="14"/>
        <v>1.9527120080023779</v>
      </c>
      <c r="L37" s="278">
        <f t="shared" si="14"/>
        <v>1.9527120080023779</v>
      </c>
      <c r="M37" s="278">
        <f t="shared" si="14"/>
        <v>1.9527120080023779</v>
      </c>
      <c r="N37" s="278">
        <f t="shared" si="14"/>
        <v>1.9527120080023779</v>
      </c>
      <c r="O37" s="278">
        <f t="shared" si="14"/>
        <v>1.9527120080023779</v>
      </c>
      <c r="P37" s="278">
        <f t="shared" si="14"/>
        <v>1.9527120080023779</v>
      </c>
      <c r="Q37" s="278">
        <f t="shared" si="14"/>
        <v>1.9527120080023779</v>
      </c>
      <c r="R37" s="278"/>
      <c r="S37" s="278"/>
    </row>
    <row r="38" spans="2:19" x14ac:dyDescent="0.3">
      <c r="B38" s="276" t="s">
        <v>338</v>
      </c>
      <c r="C38" s="277" t="s">
        <v>2</v>
      </c>
      <c r="D38" s="278">
        <v>4.073446066887711</v>
      </c>
      <c r="E38" s="278"/>
      <c r="F38" s="278">
        <f t="shared" si="14"/>
        <v>4.073446066887711</v>
      </c>
      <c r="G38" s="278">
        <f t="shared" si="14"/>
        <v>4.073446066887711</v>
      </c>
      <c r="H38" s="278">
        <f t="shared" si="14"/>
        <v>4.073446066887711</v>
      </c>
      <c r="I38" s="278">
        <f t="shared" si="14"/>
        <v>4.073446066887711</v>
      </c>
      <c r="J38" s="278">
        <f t="shared" si="14"/>
        <v>4.073446066887711</v>
      </c>
      <c r="K38" s="278">
        <f t="shared" si="14"/>
        <v>4.073446066887711</v>
      </c>
      <c r="L38" s="278">
        <f t="shared" si="14"/>
        <v>4.073446066887711</v>
      </c>
      <c r="M38" s="278">
        <f t="shared" si="14"/>
        <v>4.073446066887711</v>
      </c>
      <c r="N38" s="278">
        <f t="shared" si="14"/>
        <v>4.073446066887711</v>
      </c>
      <c r="O38" s="278">
        <f t="shared" si="14"/>
        <v>4.073446066887711</v>
      </c>
      <c r="P38" s="278">
        <f t="shared" si="14"/>
        <v>4.073446066887711</v>
      </c>
      <c r="Q38" s="278">
        <f t="shared" si="14"/>
        <v>4.073446066887711</v>
      </c>
      <c r="R38" s="278"/>
      <c r="S38" s="278"/>
    </row>
    <row r="39" spans="2:19" x14ac:dyDescent="0.3">
      <c r="B39" s="276" t="s">
        <v>339</v>
      </c>
      <c r="C39" s="277" t="s">
        <v>2</v>
      </c>
      <c r="D39" s="278">
        <v>1.2546677859081758</v>
      </c>
      <c r="E39" s="278"/>
      <c r="F39" s="278">
        <f t="shared" si="14"/>
        <v>1.2546677859081758</v>
      </c>
      <c r="G39" s="278">
        <f t="shared" si="14"/>
        <v>1.2546677859081758</v>
      </c>
      <c r="H39" s="278">
        <f t="shared" si="14"/>
        <v>1.2546677859081758</v>
      </c>
      <c r="I39" s="278">
        <f t="shared" si="14"/>
        <v>1.2546677859081758</v>
      </c>
      <c r="J39" s="278">
        <f t="shared" si="14"/>
        <v>1.2546677859081758</v>
      </c>
      <c r="K39" s="278">
        <f t="shared" si="14"/>
        <v>1.2546677859081758</v>
      </c>
      <c r="L39" s="278">
        <f t="shared" si="14"/>
        <v>1.2546677859081758</v>
      </c>
      <c r="M39" s="278">
        <f t="shared" si="14"/>
        <v>1.2546677859081758</v>
      </c>
      <c r="N39" s="278">
        <f t="shared" si="14"/>
        <v>1.2546677859081758</v>
      </c>
      <c r="O39" s="278">
        <f t="shared" si="14"/>
        <v>1.2546677859081758</v>
      </c>
      <c r="P39" s="278">
        <f t="shared" si="14"/>
        <v>1.2546677859081758</v>
      </c>
      <c r="Q39" s="278">
        <f t="shared" si="14"/>
        <v>1.2546677859081758</v>
      </c>
      <c r="R39" s="278"/>
      <c r="S39" s="278"/>
    </row>
    <row r="40" spans="2:19" x14ac:dyDescent="0.3">
      <c r="B40" s="276" t="s">
        <v>340</v>
      </c>
      <c r="C40" s="277" t="s">
        <v>223</v>
      </c>
      <c r="D40" s="278">
        <v>0.83886827612575454</v>
      </c>
      <c r="E40" s="278"/>
      <c r="F40" s="278">
        <f t="shared" si="14"/>
        <v>0.83886827612575454</v>
      </c>
      <c r="G40" s="278">
        <f t="shared" si="14"/>
        <v>0.83886827612575454</v>
      </c>
      <c r="H40" s="278">
        <f t="shared" si="14"/>
        <v>0.83886827612575454</v>
      </c>
      <c r="I40" s="278">
        <f t="shared" si="14"/>
        <v>0.83886827612575454</v>
      </c>
      <c r="J40" s="278">
        <f t="shared" si="14"/>
        <v>0.83886827612575454</v>
      </c>
      <c r="K40" s="278">
        <f t="shared" si="14"/>
        <v>0.83886827612575454</v>
      </c>
      <c r="L40" s="278">
        <f t="shared" si="14"/>
        <v>0.83886827612575454</v>
      </c>
      <c r="M40" s="278">
        <f t="shared" si="14"/>
        <v>0.83886827612575454</v>
      </c>
      <c r="N40" s="278">
        <f t="shared" si="14"/>
        <v>0.83886827612575454</v>
      </c>
      <c r="O40" s="278">
        <f t="shared" si="14"/>
        <v>0.83886827612575454</v>
      </c>
      <c r="P40" s="278">
        <f t="shared" si="14"/>
        <v>0.83886827612575454</v>
      </c>
      <c r="Q40" s="278">
        <f t="shared" si="14"/>
        <v>0.83886827612575454</v>
      </c>
      <c r="R40" s="278"/>
      <c r="S40" s="278"/>
    </row>
    <row r="41" spans="2:19" x14ac:dyDescent="0.3">
      <c r="B41" s="276" t="s">
        <v>341</v>
      </c>
      <c r="C41" s="277" t="s">
        <v>223</v>
      </c>
      <c r="D41" s="278">
        <v>96.162607592832757</v>
      </c>
      <c r="E41" s="278"/>
      <c r="F41" s="278">
        <f t="shared" si="14"/>
        <v>96.162607592832757</v>
      </c>
      <c r="G41" s="278">
        <f t="shared" si="14"/>
        <v>96.162607592832757</v>
      </c>
      <c r="H41" s="278">
        <f t="shared" si="14"/>
        <v>96.162607592832757</v>
      </c>
      <c r="I41" s="278">
        <f t="shared" si="14"/>
        <v>96.162607592832757</v>
      </c>
      <c r="J41" s="278">
        <f t="shared" si="14"/>
        <v>96.162607592832757</v>
      </c>
      <c r="K41" s="278">
        <f t="shared" si="14"/>
        <v>96.162607592832757</v>
      </c>
      <c r="L41" s="278">
        <f t="shared" si="14"/>
        <v>96.162607592832757</v>
      </c>
      <c r="M41" s="278">
        <f t="shared" si="14"/>
        <v>96.162607592832757</v>
      </c>
      <c r="N41" s="278">
        <f t="shared" si="14"/>
        <v>96.162607592832757</v>
      </c>
      <c r="O41" s="278">
        <f t="shared" si="14"/>
        <v>96.162607592832757</v>
      </c>
      <c r="P41" s="278">
        <f t="shared" si="14"/>
        <v>96.162607592832757</v>
      </c>
      <c r="Q41" s="278">
        <f t="shared" si="14"/>
        <v>96.162607592832757</v>
      </c>
      <c r="R41" s="278"/>
      <c r="S41" s="278"/>
    </row>
    <row r="42" spans="2:19" x14ac:dyDescent="0.3">
      <c r="B42" s="276" t="s">
        <v>342</v>
      </c>
      <c r="C42" s="277" t="s">
        <v>343</v>
      </c>
      <c r="D42" s="278">
        <v>313.55700000000002</v>
      </c>
      <c r="E42" s="278"/>
      <c r="F42" s="278">
        <f t="shared" ref="F42:Q42" si="15">F36/$D36*$D42</f>
        <v>24.408870901900062</v>
      </c>
      <c r="G42" s="278">
        <f t="shared" si="15"/>
        <v>25.385225737976064</v>
      </c>
      <c r="H42" s="278">
        <f t="shared" si="15"/>
        <v>27.337935410128068</v>
      </c>
      <c r="I42" s="278">
        <f t="shared" si="15"/>
        <v>29.290645082280076</v>
      </c>
      <c r="J42" s="278">
        <f t="shared" si="15"/>
        <v>29.290645082280076</v>
      </c>
      <c r="K42" s="278">
        <f t="shared" si="15"/>
        <v>29.290645082280076</v>
      </c>
      <c r="L42" s="278">
        <f t="shared" si="15"/>
        <v>29.290645082280076</v>
      </c>
      <c r="M42" s="278">
        <f t="shared" si="15"/>
        <v>29.290645082280076</v>
      </c>
      <c r="N42" s="278">
        <f t="shared" si="15"/>
        <v>29.290645082280076</v>
      </c>
      <c r="O42" s="278">
        <f t="shared" si="15"/>
        <v>29.290645082280076</v>
      </c>
      <c r="P42" s="278">
        <f t="shared" si="15"/>
        <v>19.527096721520053</v>
      </c>
      <c r="Q42" s="278">
        <f t="shared" si="15"/>
        <v>11.86335565251524</v>
      </c>
      <c r="R42" s="278"/>
      <c r="S42" s="278"/>
    </row>
    <row r="43" spans="2:19" x14ac:dyDescent="0.3">
      <c r="B43" s="276" t="s">
        <v>344</v>
      </c>
      <c r="C43" s="277" t="s">
        <v>343</v>
      </c>
      <c r="D43" s="278">
        <v>654.09500000000003</v>
      </c>
      <c r="E43" s="278"/>
      <c r="F43" s="278">
        <f t="shared" ref="F43:Q43" si="16">F36/$D36*$D43</f>
        <v>50.91808000643686</v>
      </c>
      <c r="G43" s="278">
        <f t="shared" si="16"/>
        <v>52.954803206694329</v>
      </c>
      <c r="H43" s="278">
        <f t="shared" si="16"/>
        <v>57.028249607209275</v>
      </c>
      <c r="I43" s="278">
        <f t="shared" si="16"/>
        <v>61.101696007724229</v>
      </c>
      <c r="J43" s="278">
        <f t="shared" si="16"/>
        <v>61.101696007724229</v>
      </c>
      <c r="K43" s="278">
        <f t="shared" si="16"/>
        <v>61.101696007724229</v>
      </c>
      <c r="L43" s="278">
        <f t="shared" si="16"/>
        <v>61.101696007724229</v>
      </c>
      <c r="M43" s="278">
        <f t="shared" si="16"/>
        <v>61.101696007724229</v>
      </c>
      <c r="N43" s="278">
        <f t="shared" si="16"/>
        <v>61.101696007724229</v>
      </c>
      <c r="O43" s="278">
        <f t="shared" si="16"/>
        <v>61.101696007724229</v>
      </c>
      <c r="P43" s="278">
        <f t="shared" si="16"/>
        <v>40.734464005149491</v>
      </c>
      <c r="Q43" s="278">
        <f t="shared" si="16"/>
        <v>24.747531120440481</v>
      </c>
      <c r="R43" s="278"/>
      <c r="S43" s="278"/>
    </row>
    <row r="44" spans="2:19" x14ac:dyDescent="0.3">
      <c r="B44" s="276" t="s">
        <v>345</v>
      </c>
      <c r="C44" s="277" t="s">
        <v>343</v>
      </c>
      <c r="D44" s="278">
        <v>201.46899999999999</v>
      </c>
      <c r="E44" s="278"/>
      <c r="F44" s="278">
        <f>F36/$D36*$D44</f>
        <v>15.683371162930197</v>
      </c>
      <c r="G44" s="278">
        <f t="shared" ref="G44:Q44" si="17">G36/$D36*$D44</f>
        <v>16.310706009447404</v>
      </c>
      <c r="H44" s="278">
        <f t="shared" si="17"/>
        <v>17.56537570248182</v>
      </c>
      <c r="I44" s="278">
        <f t="shared" si="17"/>
        <v>18.820045395516235</v>
      </c>
      <c r="J44" s="278">
        <f t="shared" si="17"/>
        <v>18.820045395516235</v>
      </c>
      <c r="K44" s="278">
        <f t="shared" si="17"/>
        <v>18.820045395516235</v>
      </c>
      <c r="L44" s="278">
        <f t="shared" si="17"/>
        <v>18.820045395516235</v>
      </c>
      <c r="M44" s="278">
        <f t="shared" si="17"/>
        <v>18.820045395516235</v>
      </c>
      <c r="N44" s="278">
        <f t="shared" si="17"/>
        <v>18.820045395516235</v>
      </c>
      <c r="O44" s="278">
        <f t="shared" si="17"/>
        <v>18.820045395516235</v>
      </c>
      <c r="P44" s="278">
        <f t="shared" si="17"/>
        <v>12.546696930344158</v>
      </c>
      <c r="Q44" s="278">
        <f t="shared" si="17"/>
        <v>7.6225324261827767</v>
      </c>
      <c r="R44" s="278"/>
      <c r="S44" s="278"/>
    </row>
    <row r="45" spans="2:19" x14ac:dyDescent="0.3">
      <c r="B45" s="276" t="s">
        <v>346</v>
      </c>
      <c r="C45" s="277" t="s">
        <v>71</v>
      </c>
      <c r="D45" s="277">
        <v>13470</v>
      </c>
      <c r="E45" s="277"/>
      <c r="F45" s="278">
        <f t="shared" ref="F45:Q45" si="18">F36/$D36*$D45</f>
        <v>1048.5732771030271</v>
      </c>
      <c r="G45" s="278">
        <f t="shared" si="18"/>
        <v>1090.5162081871481</v>
      </c>
      <c r="H45" s="278">
        <f t="shared" si="18"/>
        <v>1174.4020703553902</v>
      </c>
      <c r="I45" s="278">
        <f t="shared" si="18"/>
        <v>1258.2879325236322</v>
      </c>
      <c r="J45" s="278">
        <f t="shared" si="18"/>
        <v>1258.2879325236322</v>
      </c>
      <c r="K45" s="278">
        <f t="shared" si="18"/>
        <v>1258.2879325236322</v>
      </c>
      <c r="L45" s="278">
        <f t="shared" si="18"/>
        <v>1258.2879325236322</v>
      </c>
      <c r="M45" s="278">
        <f t="shared" si="18"/>
        <v>1258.2879325236322</v>
      </c>
      <c r="N45" s="278">
        <f t="shared" si="18"/>
        <v>1258.2879325236322</v>
      </c>
      <c r="O45" s="278">
        <f t="shared" si="18"/>
        <v>1258.2879325236322</v>
      </c>
      <c r="P45" s="278">
        <f t="shared" si="18"/>
        <v>838.85862168242159</v>
      </c>
      <c r="Q45" s="278">
        <f t="shared" si="18"/>
        <v>509.63429500658663</v>
      </c>
      <c r="R45" s="278"/>
      <c r="S45" s="278"/>
    </row>
    <row r="46" spans="2:19" x14ac:dyDescent="0.3">
      <c r="B46" s="276" t="s">
        <v>347</v>
      </c>
      <c r="C46" s="277" t="s">
        <v>71</v>
      </c>
      <c r="D46" s="279">
        <v>1544134</v>
      </c>
      <c r="E46" s="279"/>
      <c r="F46" s="278">
        <f t="shared" ref="F46:Q46" si="19">F36/$D36*$D46</f>
        <v>120203.24043550153</v>
      </c>
      <c r="G46" s="278">
        <f t="shared" si="19"/>
        <v>125011.37005292157</v>
      </c>
      <c r="H46" s="278">
        <f t="shared" si="19"/>
        <v>134627.62928776169</v>
      </c>
      <c r="I46" s="278">
        <f t="shared" si="19"/>
        <v>144243.8885226018</v>
      </c>
      <c r="J46" s="278">
        <f t="shared" si="19"/>
        <v>144243.8885226018</v>
      </c>
      <c r="K46" s="278">
        <f t="shared" si="19"/>
        <v>144243.8885226018</v>
      </c>
      <c r="L46" s="278">
        <f t="shared" si="19"/>
        <v>144243.8885226018</v>
      </c>
      <c r="M46" s="278">
        <f t="shared" si="19"/>
        <v>144243.8885226018</v>
      </c>
      <c r="N46" s="278">
        <f t="shared" si="19"/>
        <v>144243.8885226018</v>
      </c>
      <c r="O46" s="278">
        <f t="shared" si="19"/>
        <v>144243.8885226018</v>
      </c>
      <c r="P46" s="278">
        <f t="shared" si="19"/>
        <v>96162.592348401216</v>
      </c>
      <c r="Q46" s="278">
        <f t="shared" si="19"/>
        <v>58421.948217201236</v>
      </c>
      <c r="R46" s="278"/>
      <c r="S46" s="278"/>
    </row>
    <row r="47" spans="2:19" ht="27.6" x14ac:dyDescent="0.3">
      <c r="B47" s="276" t="s">
        <v>348</v>
      </c>
      <c r="C47" s="277" t="s">
        <v>349</v>
      </c>
      <c r="D47" s="279">
        <f>SUM(F47:S47)</f>
        <v>711.3487118999999</v>
      </c>
      <c r="E47" s="279"/>
      <c r="F47" s="280">
        <f>F36*44.3/1000</f>
        <v>55.375</v>
      </c>
      <c r="G47" s="280">
        <f t="shared" ref="G47:Q47" si="20">G36*44.3/1000</f>
        <v>57.589999999999989</v>
      </c>
      <c r="H47" s="280">
        <f t="shared" si="20"/>
        <v>62.019999999999996</v>
      </c>
      <c r="I47" s="280">
        <f t="shared" si="20"/>
        <v>66.45</v>
      </c>
      <c r="J47" s="280">
        <f t="shared" si="20"/>
        <v>66.45</v>
      </c>
      <c r="K47" s="280">
        <f t="shared" si="20"/>
        <v>66.45</v>
      </c>
      <c r="L47" s="280">
        <f t="shared" si="20"/>
        <v>66.45</v>
      </c>
      <c r="M47" s="280">
        <f t="shared" si="20"/>
        <v>66.45</v>
      </c>
      <c r="N47" s="280">
        <f t="shared" si="20"/>
        <v>66.45</v>
      </c>
      <c r="O47" s="280">
        <f t="shared" si="20"/>
        <v>66.45</v>
      </c>
      <c r="P47" s="280">
        <f t="shared" si="20"/>
        <v>44.3</v>
      </c>
      <c r="Q47" s="280">
        <f t="shared" si="20"/>
        <v>26.913711899999999</v>
      </c>
      <c r="R47" s="280"/>
      <c r="S47" s="280"/>
    </row>
    <row r="48" spans="2:19" x14ac:dyDescent="0.3">
      <c r="B48" s="276" t="s">
        <v>350</v>
      </c>
      <c r="C48" s="277" t="s">
        <v>349</v>
      </c>
      <c r="D48" s="277">
        <v>65.986000000000004</v>
      </c>
      <c r="E48" s="277"/>
      <c r="F48" s="280">
        <v>47.497</v>
      </c>
      <c r="G48" s="281">
        <v>9.3659999999999997</v>
      </c>
      <c r="H48" s="277"/>
      <c r="I48" s="277"/>
      <c r="J48" s="277"/>
      <c r="K48" s="277"/>
      <c r="L48" s="277"/>
      <c r="M48" s="277"/>
      <c r="N48" s="277"/>
      <c r="O48" s="277"/>
      <c r="P48" s="277"/>
      <c r="Q48" s="277"/>
      <c r="R48" s="277"/>
      <c r="S48" s="277"/>
    </row>
  </sheetData>
  <mergeCells count="10">
    <mergeCell ref="E2:E3"/>
    <mergeCell ref="B19:S19"/>
    <mergeCell ref="B20:S20"/>
    <mergeCell ref="B35:S35"/>
    <mergeCell ref="B34:S34"/>
    <mergeCell ref="F2:S2"/>
    <mergeCell ref="B5:S5"/>
    <mergeCell ref="B2:B4"/>
    <mergeCell ref="C2:C4"/>
    <mergeCell ref="D2:D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/>
  </sheetViews>
  <sheetFormatPr defaultRowHeight="14.4" x14ac:dyDescent="0.3"/>
  <cols>
    <col min="1" max="1" width="19.5546875" bestFit="1" customWidth="1"/>
    <col min="12" max="12" width="7.33203125" bestFit="1" customWidth="1"/>
  </cols>
  <sheetData>
    <row r="1" spans="1:12" ht="15" thickBot="1" x14ac:dyDescent="0.35">
      <c r="A1" s="8" t="s">
        <v>117</v>
      </c>
      <c r="B1" s="9" t="s">
        <v>119</v>
      </c>
      <c r="C1" s="689" t="s">
        <v>120</v>
      </c>
      <c r="D1" s="690"/>
      <c r="E1" s="690"/>
      <c r="F1" s="690"/>
      <c r="G1" s="691"/>
      <c r="H1" s="689" t="s">
        <v>121</v>
      </c>
      <c r="I1" s="690"/>
      <c r="J1" s="690"/>
      <c r="K1" s="690"/>
      <c r="L1" s="691"/>
    </row>
    <row r="2" spans="1:12" ht="15" thickBot="1" x14ac:dyDescent="0.35">
      <c r="A2" s="10" t="s">
        <v>118</v>
      </c>
      <c r="B2" s="11" t="s">
        <v>2</v>
      </c>
      <c r="C2" s="12" t="s">
        <v>122</v>
      </c>
      <c r="D2" s="12" t="s">
        <v>123</v>
      </c>
      <c r="E2" s="12" t="s">
        <v>124</v>
      </c>
      <c r="F2" s="12" t="s">
        <v>125</v>
      </c>
      <c r="G2" s="12" t="s">
        <v>126</v>
      </c>
      <c r="H2" s="12" t="s">
        <v>122</v>
      </c>
      <c r="I2" s="12" t="s">
        <v>123</v>
      </c>
      <c r="J2" s="12" t="s">
        <v>124</v>
      </c>
      <c r="K2" s="12" t="s">
        <v>125</v>
      </c>
      <c r="L2" s="12" t="s">
        <v>126</v>
      </c>
    </row>
    <row r="3" spans="1:12" ht="15" thickBot="1" x14ac:dyDescent="0.35">
      <c r="A3" s="15" t="s">
        <v>127</v>
      </c>
      <c r="B3" s="13">
        <v>7.15</v>
      </c>
      <c r="C3" s="14">
        <v>25.73</v>
      </c>
      <c r="D3" s="12">
        <v>3.2</v>
      </c>
      <c r="E3" s="12">
        <v>4</v>
      </c>
      <c r="F3" s="13">
        <v>5.48</v>
      </c>
      <c r="G3" s="13">
        <v>832.76</v>
      </c>
      <c r="H3" s="14">
        <v>87.65</v>
      </c>
      <c r="I3" s="12">
        <v>16.47</v>
      </c>
      <c r="J3" s="12">
        <v>5.64</v>
      </c>
      <c r="K3" s="13">
        <v>49</v>
      </c>
      <c r="L3" s="13">
        <v>58.27</v>
      </c>
    </row>
    <row r="4" spans="1:12" ht="15" thickBot="1" x14ac:dyDescent="0.35">
      <c r="A4" s="15" t="s">
        <v>128</v>
      </c>
      <c r="B4" s="13">
        <v>2.02</v>
      </c>
      <c r="C4" s="12">
        <v>4.5</v>
      </c>
      <c r="D4" s="14">
        <v>45</v>
      </c>
      <c r="E4" s="12">
        <v>11</v>
      </c>
      <c r="F4" s="12">
        <v>5.58</v>
      </c>
      <c r="G4" s="13">
        <v>470.71</v>
      </c>
      <c r="H4" s="12">
        <v>4.32</v>
      </c>
      <c r="I4" s="14">
        <v>65.239999999999995</v>
      </c>
      <c r="J4" s="12">
        <v>4.37</v>
      </c>
      <c r="K4" s="12">
        <v>14.04</v>
      </c>
      <c r="L4" s="13">
        <v>9.3000000000000007</v>
      </c>
    </row>
    <row r="5" spans="1:12" ht="15" thickBot="1" x14ac:dyDescent="0.35">
      <c r="A5" s="15" t="s">
        <v>129</v>
      </c>
      <c r="B5" s="13">
        <v>8.14</v>
      </c>
      <c r="C5" s="12">
        <v>1.1000000000000001</v>
      </c>
      <c r="D5" s="12">
        <v>1.7</v>
      </c>
      <c r="E5" s="14">
        <v>53</v>
      </c>
      <c r="F5" s="12">
        <v>0.87</v>
      </c>
      <c r="G5" s="13">
        <v>140.13</v>
      </c>
      <c r="H5" s="12">
        <v>4.26</v>
      </c>
      <c r="I5" s="12">
        <v>9.9499999999999993</v>
      </c>
      <c r="J5" s="14">
        <v>85.04</v>
      </c>
      <c r="K5" s="12">
        <v>8.84</v>
      </c>
      <c r="L5" s="13">
        <v>11.15</v>
      </c>
    </row>
    <row r="6" spans="1:12" ht="15" thickBot="1" x14ac:dyDescent="0.35">
      <c r="A6" s="15" t="s">
        <v>130</v>
      </c>
      <c r="B6" s="12">
        <v>82.69</v>
      </c>
      <c r="C6" s="12">
        <v>0.1</v>
      </c>
      <c r="D6" s="12">
        <v>0.14000000000000001</v>
      </c>
      <c r="E6" s="12">
        <v>0.3</v>
      </c>
      <c r="F6" s="12">
        <v>0.27</v>
      </c>
      <c r="G6" s="12">
        <v>26.31</v>
      </c>
      <c r="H6" s="12">
        <v>3.77</v>
      </c>
      <c r="I6" s="12">
        <v>8.34</v>
      </c>
      <c r="J6" s="12">
        <v>4.95</v>
      </c>
      <c r="K6" s="12">
        <v>28.12</v>
      </c>
      <c r="L6" s="12">
        <v>21.28</v>
      </c>
    </row>
    <row r="7" spans="1:12" ht="15" thickBot="1" x14ac:dyDescent="0.35">
      <c r="A7" s="15" t="s">
        <v>131</v>
      </c>
      <c r="B7" s="12">
        <v>100</v>
      </c>
      <c r="C7" s="12">
        <v>2.1</v>
      </c>
      <c r="D7" s="12">
        <v>1.39</v>
      </c>
      <c r="E7" s="12">
        <v>5.07</v>
      </c>
      <c r="F7" s="12">
        <v>0.8</v>
      </c>
      <c r="G7" s="12">
        <v>102.24</v>
      </c>
      <c r="H7" s="12">
        <v>100</v>
      </c>
      <c r="I7" s="12">
        <v>100</v>
      </c>
      <c r="J7" s="12">
        <v>100</v>
      </c>
      <c r="K7" s="12">
        <v>100</v>
      </c>
      <c r="L7" s="12">
        <v>100</v>
      </c>
    </row>
  </sheetData>
  <mergeCells count="2">
    <mergeCell ref="C1:G1"/>
    <mergeCell ref="H1:L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34"/>
  <sheetViews>
    <sheetView workbookViewId="0"/>
  </sheetViews>
  <sheetFormatPr defaultRowHeight="14.4" x14ac:dyDescent="0.3"/>
  <cols>
    <col min="1" max="1" width="6.5546875" customWidth="1"/>
    <col min="2" max="2" width="34.109375" customWidth="1"/>
    <col min="3" max="3" width="22.6640625" customWidth="1"/>
    <col min="4" max="4" width="16" customWidth="1"/>
    <col min="5" max="14" width="14.44140625" customWidth="1"/>
    <col min="15" max="15" width="12.6640625" customWidth="1"/>
    <col min="16" max="16" width="11.5546875" customWidth="1"/>
    <col min="17" max="17" width="12.33203125" customWidth="1"/>
    <col min="18" max="18" width="11.5546875" customWidth="1"/>
    <col min="19" max="19" width="13.109375" customWidth="1"/>
    <col min="20" max="20" width="15" customWidth="1"/>
  </cols>
  <sheetData>
    <row r="2" spans="2:20" x14ac:dyDescent="0.3">
      <c r="C2" s="692" t="s">
        <v>367</v>
      </c>
      <c r="D2" s="692"/>
      <c r="E2" s="692"/>
      <c r="F2" s="692"/>
      <c r="G2" s="692"/>
      <c r="H2" s="692"/>
      <c r="I2" s="692"/>
      <c r="J2" s="692"/>
      <c r="K2" s="692"/>
      <c r="L2" s="692"/>
      <c r="M2" s="692"/>
      <c r="N2" s="692"/>
    </row>
    <row r="3" spans="2:20" ht="15" thickBot="1" x14ac:dyDescent="0.35">
      <c r="C3" s="309"/>
      <c r="D3" s="310">
        <v>2024</v>
      </c>
      <c r="E3" s="310">
        <v>2025</v>
      </c>
      <c r="F3" s="310">
        <v>2026</v>
      </c>
      <c r="G3" s="310">
        <v>2027</v>
      </c>
      <c r="H3" s="310">
        <v>2028</v>
      </c>
      <c r="I3" s="310">
        <v>2029</v>
      </c>
      <c r="J3" s="310">
        <v>2030</v>
      </c>
      <c r="K3" s="310">
        <v>2031</v>
      </c>
      <c r="L3" s="310">
        <v>2032</v>
      </c>
      <c r="M3" s="310">
        <v>2033</v>
      </c>
      <c r="N3" s="310">
        <v>2034</v>
      </c>
      <c r="O3" s="310" t="s">
        <v>368</v>
      </c>
      <c r="P3" s="310" t="s">
        <v>369</v>
      </c>
      <c r="Q3" s="310" t="s">
        <v>370</v>
      </c>
      <c r="R3" s="310" t="s">
        <v>371</v>
      </c>
      <c r="S3" s="310" t="s">
        <v>372</v>
      </c>
      <c r="T3" s="310" t="s">
        <v>373</v>
      </c>
    </row>
    <row r="4" spans="2:20" x14ac:dyDescent="0.3">
      <c r="B4" s="311" t="s">
        <v>374</v>
      </c>
      <c r="C4" s="311" t="s">
        <v>115</v>
      </c>
      <c r="D4" s="312">
        <v>8600</v>
      </c>
      <c r="E4" s="312">
        <v>9500</v>
      </c>
      <c r="F4" s="312">
        <v>9200</v>
      </c>
      <c r="G4" s="312">
        <v>8551.2140639999998</v>
      </c>
      <c r="H4" s="312">
        <v>8722.2383452800004</v>
      </c>
      <c r="I4" s="312">
        <v>8896.6831121856012</v>
      </c>
      <c r="J4" s="312">
        <v>9074.6167744293125</v>
      </c>
      <c r="K4" s="312">
        <v>9256.1091099178993</v>
      </c>
      <c r="L4" s="312">
        <v>9441.2312921162575</v>
      </c>
      <c r="M4" s="312">
        <v>9630.0559179585834</v>
      </c>
      <c r="N4" s="312">
        <v>9822.6570363177561</v>
      </c>
      <c r="O4" s="312">
        <v>10019.110177044111</v>
      </c>
      <c r="P4" s="312">
        <v>10219.492380584994</v>
      </c>
      <c r="Q4" s="312">
        <v>10423.882228196693</v>
      </c>
      <c r="R4" s="312">
        <v>10632.359872760628</v>
      </c>
      <c r="S4" s="312">
        <v>10845.007070215841</v>
      </c>
      <c r="T4" s="312">
        <v>11061.907211620159</v>
      </c>
    </row>
    <row r="5" spans="2:20" x14ac:dyDescent="0.3">
      <c r="B5" s="313" t="s">
        <v>375</v>
      </c>
      <c r="C5" s="313" t="s">
        <v>115</v>
      </c>
      <c r="D5" s="314">
        <v>2600</v>
      </c>
      <c r="E5" s="314">
        <v>2600</v>
      </c>
      <c r="F5" s="314">
        <v>2800</v>
      </c>
      <c r="G5" s="314">
        <v>2706.0803999999998</v>
      </c>
      <c r="H5" s="314">
        <v>2760.2020079999998</v>
      </c>
      <c r="I5" s="314">
        <v>2815.40604816</v>
      </c>
      <c r="J5" s="314">
        <v>2871.7141691232</v>
      </c>
      <c r="K5" s="314">
        <v>2929.148452505664</v>
      </c>
      <c r="L5" s="314">
        <v>2987.7314215557772</v>
      </c>
      <c r="M5" s="314">
        <v>3047.4860499868928</v>
      </c>
      <c r="N5" s="314">
        <v>3108.4357709866308</v>
      </c>
      <c r="O5" s="314">
        <v>3170.6044864063633</v>
      </c>
      <c r="P5" s="314">
        <v>3234.0165761344906</v>
      </c>
      <c r="Q5" s="314">
        <v>3298.6969076571804</v>
      </c>
      <c r="R5" s="314">
        <v>3364.670845810324</v>
      </c>
      <c r="S5" s="314">
        <v>3431.9642627265307</v>
      </c>
      <c r="T5" s="314">
        <v>3500.6035479810612</v>
      </c>
    </row>
    <row r="6" spans="2:20" x14ac:dyDescent="0.3">
      <c r="B6" s="313" t="s">
        <v>376</v>
      </c>
      <c r="C6" s="313" t="s">
        <v>116</v>
      </c>
      <c r="D6" s="314">
        <v>1900</v>
      </c>
      <c r="E6" s="314">
        <v>1600</v>
      </c>
      <c r="F6" s="314">
        <v>1600</v>
      </c>
      <c r="G6" s="314">
        <v>1623.64824</v>
      </c>
      <c r="H6" s="314">
        <v>1656.1212048</v>
      </c>
      <c r="I6" s="314">
        <v>1689.243628896</v>
      </c>
      <c r="J6" s="314">
        <v>1723.02850147392</v>
      </c>
      <c r="K6" s="314">
        <v>1757.4890715033985</v>
      </c>
      <c r="L6" s="314">
        <v>1792.6388529334665</v>
      </c>
      <c r="M6" s="314">
        <v>1828.4916299921358</v>
      </c>
      <c r="N6" s="314">
        <v>1865.0614625919786</v>
      </c>
      <c r="O6" s="314">
        <v>1902.3626918438183</v>
      </c>
      <c r="P6" s="314">
        <v>1940.4099456806948</v>
      </c>
      <c r="Q6" s="314">
        <v>1979.2181445943088</v>
      </c>
      <c r="R6" s="314">
        <v>2018.8025074861951</v>
      </c>
      <c r="S6" s="314">
        <v>2059.1785576359189</v>
      </c>
      <c r="T6" s="314">
        <v>2100.3621287886372</v>
      </c>
    </row>
    <row r="7" spans="2:20" x14ac:dyDescent="0.3">
      <c r="B7" s="313" t="s">
        <v>377</v>
      </c>
      <c r="C7" s="313" t="s">
        <v>116</v>
      </c>
      <c r="D7" s="314">
        <v>23</v>
      </c>
      <c r="E7" s="314">
        <v>21</v>
      </c>
      <c r="F7" s="314">
        <v>21</v>
      </c>
      <c r="G7" s="314">
        <v>22.731075359999998</v>
      </c>
      <c r="H7" s="314">
        <v>23.185696867199997</v>
      </c>
      <c r="I7" s="314">
        <v>23.649410804543997</v>
      </c>
      <c r="J7" s="314">
        <v>24.122399020634877</v>
      </c>
      <c r="K7" s="314">
        <v>24.604847001047574</v>
      </c>
      <c r="L7" s="314">
        <v>25.096943941068528</v>
      </c>
      <c r="M7" s="314">
        <v>25.598882819889898</v>
      </c>
      <c r="N7" s="314">
        <v>26.110860476287698</v>
      </c>
      <c r="O7" s="314">
        <v>26.633077685813451</v>
      </c>
      <c r="P7" s="314">
        <v>27.165739239529721</v>
      </c>
      <c r="Q7" s="314">
        <v>27.709054024320317</v>
      </c>
      <c r="R7" s="314">
        <v>28.263235104806725</v>
      </c>
      <c r="S7" s="314">
        <v>28.828499806902862</v>
      </c>
      <c r="T7" s="314">
        <v>29.40506980304092</v>
      </c>
    </row>
    <row r="8" spans="2:20" x14ac:dyDescent="0.3">
      <c r="B8" s="313" t="s">
        <v>378</v>
      </c>
      <c r="C8" s="313" t="s">
        <v>115</v>
      </c>
      <c r="D8" s="314">
        <v>2000</v>
      </c>
      <c r="E8" s="314">
        <v>2000</v>
      </c>
      <c r="F8" s="314">
        <v>2000</v>
      </c>
      <c r="G8" s="314">
        <v>1948.377888</v>
      </c>
      <c r="H8" s="314">
        <v>1987.3454457600001</v>
      </c>
      <c r="I8" s="314">
        <v>2027.0923546752001</v>
      </c>
      <c r="J8" s="314">
        <v>2067.6342017687043</v>
      </c>
      <c r="K8" s="314">
        <v>2108.9868858040786</v>
      </c>
      <c r="L8" s="314">
        <v>2151.1666235201601</v>
      </c>
      <c r="M8" s="314">
        <v>2194.1899559905632</v>
      </c>
      <c r="N8" s="314">
        <v>2238.0737551103743</v>
      </c>
      <c r="O8" s="314">
        <v>2282.8352302125818</v>
      </c>
      <c r="P8" s="314">
        <v>2328.4919348168337</v>
      </c>
      <c r="Q8" s="314">
        <v>2375.0617735131705</v>
      </c>
      <c r="R8" s="314">
        <v>2422.563008983434</v>
      </c>
      <c r="S8" s="314">
        <v>2471.0142691631027</v>
      </c>
      <c r="T8" s="314">
        <v>2520.4345545463648</v>
      </c>
    </row>
    <row r="9" spans="2:20" x14ac:dyDescent="0.3">
      <c r="B9" s="313"/>
      <c r="C9" s="313"/>
      <c r="D9" s="314"/>
    </row>
    <row r="10" spans="2:20" x14ac:dyDescent="0.3">
      <c r="B10" s="313"/>
      <c r="C10" s="313"/>
      <c r="D10" s="314"/>
    </row>
    <row r="11" spans="2:20" x14ac:dyDescent="0.3">
      <c r="B11" s="313"/>
      <c r="C11" s="313"/>
      <c r="D11" s="314"/>
    </row>
    <row r="12" spans="2:20" x14ac:dyDescent="0.3">
      <c r="B12" s="313"/>
      <c r="C12" s="313"/>
      <c r="D12" s="314"/>
    </row>
    <row r="13" spans="2:20" x14ac:dyDescent="0.3">
      <c r="B13" s="313"/>
      <c r="C13" s="313"/>
      <c r="D13" s="314"/>
    </row>
    <row r="14" spans="2:20" x14ac:dyDescent="0.3">
      <c r="B14" s="313"/>
      <c r="C14" s="313"/>
      <c r="D14" s="314"/>
    </row>
    <row r="15" spans="2:20" ht="15" thickBot="1" x14ac:dyDescent="0.35">
      <c r="C15" s="693" t="s">
        <v>379</v>
      </c>
      <c r="D15" s="693"/>
      <c r="E15" s="693"/>
      <c r="F15" s="693"/>
      <c r="G15" s="693"/>
      <c r="H15" s="693"/>
      <c r="I15" s="693"/>
      <c r="J15" s="693"/>
      <c r="K15" s="693"/>
      <c r="L15" s="693"/>
      <c r="M15" s="693"/>
      <c r="N15" s="693"/>
    </row>
    <row r="16" spans="2:20" x14ac:dyDescent="0.3">
      <c r="B16" s="315" t="s">
        <v>374</v>
      </c>
      <c r="C16" s="311" t="s">
        <v>115</v>
      </c>
      <c r="D16" s="316">
        <v>8083.9999999999991</v>
      </c>
      <c r="E16" s="316">
        <f>D16/D4*E4</f>
        <v>8930</v>
      </c>
      <c r="F16" s="316">
        <f t="shared" ref="F16:T16" si="0">E16/E4*F4</f>
        <v>8648</v>
      </c>
      <c r="G16" s="316">
        <f t="shared" si="0"/>
        <v>8038.1412201599996</v>
      </c>
      <c r="H16" s="316">
        <f t="shared" si="0"/>
        <v>8198.9040445631999</v>
      </c>
      <c r="I16" s="316">
        <f t="shared" si="0"/>
        <v>8362.8821254544655</v>
      </c>
      <c r="J16" s="316">
        <f t="shared" si="0"/>
        <v>8530.1397679635538</v>
      </c>
      <c r="K16" s="316">
        <f t="shared" si="0"/>
        <v>8700.7425633228268</v>
      </c>
      <c r="L16" s="316">
        <f t="shared" si="0"/>
        <v>8874.7574145892831</v>
      </c>
      <c r="M16" s="316">
        <f t="shared" si="0"/>
        <v>9052.2525628810708</v>
      </c>
      <c r="N16" s="316">
        <f t="shared" si="0"/>
        <v>9233.2976141386935</v>
      </c>
      <c r="O16" s="316">
        <f t="shared" si="0"/>
        <v>9417.9635664214675</v>
      </c>
      <c r="P16" s="316">
        <f t="shared" si="0"/>
        <v>9606.3228377498963</v>
      </c>
      <c r="Q16" s="316">
        <f t="shared" si="0"/>
        <v>9798.4492945048933</v>
      </c>
      <c r="R16" s="316">
        <f t="shared" si="0"/>
        <v>9994.4182803949916</v>
      </c>
      <c r="S16" s="316">
        <f t="shared" si="0"/>
        <v>10194.306646002893</v>
      </c>
      <c r="T16" s="316">
        <f t="shared" si="0"/>
        <v>10398.192778922952</v>
      </c>
    </row>
    <row r="17" spans="2:20" x14ac:dyDescent="0.3">
      <c r="B17" s="313" t="s">
        <v>380</v>
      </c>
      <c r="C17" s="313" t="s">
        <v>116</v>
      </c>
      <c r="D17" s="316">
        <v>1898.67</v>
      </c>
      <c r="E17" s="316">
        <f>D17/D6*E6</f>
        <v>1598.88</v>
      </c>
      <c r="F17" s="316">
        <f t="shared" ref="F17:T17" si="1">E17/E6*F6</f>
        <v>1598.88</v>
      </c>
      <c r="G17" s="316">
        <f t="shared" si="1"/>
        <v>1622.5116862320001</v>
      </c>
      <c r="H17" s="316">
        <f t="shared" si="1"/>
        <v>1654.96191995664</v>
      </c>
      <c r="I17" s="316">
        <f t="shared" si="1"/>
        <v>1688.0611583557729</v>
      </c>
      <c r="J17" s="316">
        <f t="shared" si="1"/>
        <v>1721.8223815228882</v>
      </c>
      <c r="K17" s="316">
        <f t="shared" si="1"/>
        <v>1756.2588291533459</v>
      </c>
      <c r="L17" s="316">
        <f t="shared" si="1"/>
        <v>1791.3840057364127</v>
      </c>
      <c r="M17" s="316">
        <f t="shared" si="1"/>
        <v>1827.2116858511411</v>
      </c>
      <c r="N17" s="316">
        <f t="shared" si="1"/>
        <v>1863.755919568164</v>
      </c>
      <c r="O17" s="316">
        <f t="shared" si="1"/>
        <v>1901.0310379595273</v>
      </c>
      <c r="P17" s="316">
        <f t="shared" si="1"/>
        <v>1939.051658718718</v>
      </c>
      <c r="Q17" s="316">
        <f t="shared" si="1"/>
        <v>1977.8326918930925</v>
      </c>
      <c r="R17" s="316">
        <f t="shared" si="1"/>
        <v>2017.3893457309543</v>
      </c>
      <c r="S17" s="316">
        <f t="shared" si="1"/>
        <v>2057.7371326455736</v>
      </c>
      <c r="T17" s="316">
        <f t="shared" si="1"/>
        <v>2098.891875298485</v>
      </c>
    </row>
    <row r="18" spans="2:20" x14ac:dyDescent="0.3">
      <c r="B18" s="313" t="s">
        <v>380</v>
      </c>
      <c r="C18" s="313" t="s">
        <v>381</v>
      </c>
      <c r="D18" s="316">
        <v>61.043657987456889</v>
      </c>
      <c r="E18" s="316">
        <f t="shared" ref="E18:T19" si="2">D18/D6*E6</f>
        <v>51.4051856736479</v>
      </c>
      <c r="F18" s="316">
        <f t="shared" si="2"/>
        <v>51.4051856736479</v>
      </c>
      <c r="G18" s="316">
        <f t="shared" si="2"/>
        <v>52.164962028682268</v>
      </c>
      <c r="H18" s="316">
        <f t="shared" si="2"/>
        <v>53.208261269255914</v>
      </c>
      <c r="I18" s="316">
        <f t="shared" si="2"/>
        <v>54.272426494641032</v>
      </c>
      <c r="J18" s="316">
        <f t="shared" si="2"/>
        <v>55.357875024533854</v>
      </c>
      <c r="K18" s="316">
        <f t="shared" si="2"/>
        <v>56.465032525024533</v>
      </c>
      <c r="L18" s="316">
        <f t="shared" si="2"/>
        <v>57.594333175525023</v>
      </c>
      <c r="M18" s="316">
        <f t="shared" si="2"/>
        <v>58.746219839035525</v>
      </c>
      <c r="N18" s="316">
        <f t="shared" si="2"/>
        <v>59.921144235816236</v>
      </c>
      <c r="O18" s="316">
        <f t="shared" si="2"/>
        <v>61.119567120532565</v>
      </c>
      <c r="P18" s="316">
        <f t="shared" si="2"/>
        <v>62.341958462943225</v>
      </c>
      <c r="Q18" s="316">
        <f t="shared" si="2"/>
        <v>63.588797632202088</v>
      </c>
      <c r="R18" s="316">
        <f t="shared" si="2"/>
        <v>64.860573584846136</v>
      </c>
      <c r="S18" s="316">
        <f t="shared" si="2"/>
        <v>66.157785056543048</v>
      </c>
      <c r="T18" s="316">
        <f t="shared" si="2"/>
        <v>67.480940757673906</v>
      </c>
    </row>
    <row r="19" spans="2:20" x14ac:dyDescent="0.3">
      <c r="B19" s="313" t="s">
        <v>382</v>
      </c>
      <c r="C19" s="313" t="s">
        <v>116</v>
      </c>
      <c r="D19" s="316">
        <v>22.562999999999999</v>
      </c>
      <c r="E19" s="316">
        <f t="shared" si="2"/>
        <v>20.600999999999999</v>
      </c>
      <c r="F19" s="316">
        <f t="shared" si="2"/>
        <v>20.600999999999999</v>
      </c>
      <c r="G19" s="316">
        <f t="shared" si="2"/>
        <v>22.299184928159999</v>
      </c>
      <c r="H19" s="316">
        <f t="shared" si="2"/>
        <v>22.745168626723196</v>
      </c>
      <c r="I19" s="316">
        <f t="shared" si="2"/>
        <v>23.200071999257659</v>
      </c>
      <c r="J19" s="316">
        <f t="shared" si="2"/>
        <v>23.664073439242809</v>
      </c>
      <c r="K19" s="316">
        <f t="shared" si="2"/>
        <v>24.137354908027664</v>
      </c>
      <c r="L19" s="316">
        <f t="shared" si="2"/>
        <v>24.620102006188219</v>
      </c>
      <c r="M19" s="316">
        <f t="shared" si="2"/>
        <v>25.112504046311983</v>
      </c>
      <c r="N19" s="316">
        <f t="shared" si="2"/>
        <v>25.614754127238225</v>
      </c>
      <c r="O19" s="316">
        <f t="shared" si="2"/>
        <v>26.127049209782989</v>
      </c>
      <c r="P19" s="316">
        <f t="shared" si="2"/>
        <v>26.64959019397865</v>
      </c>
      <c r="Q19" s="316">
        <f t="shared" si="2"/>
        <v>27.182581997858225</v>
      </c>
      <c r="R19" s="316">
        <f t="shared" si="2"/>
        <v>27.72623363781539</v>
      </c>
      <c r="S19" s="316">
        <f t="shared" si="2"/>
        <v>28.280758310571702</v>
      </c>
      <c r="T19" s="316">
        <f t="shared" si="2"/>
        <v>28.846373476783139</v>
      </c>
    </row>
    <row r="20" spans="2:20" x14ac:dyDescent="0.3">
      <c r="B20" s="313" t="s">
        <v>382</v>
      </c>
      <c r="C20" s="313" t="s">
        <v>113</v>
      </c>
      <c r="D20" s="316">
        <v>725.41729482795313</v>
      </c>
      <c r="E20" s="316">
        <f>D20/D7*E7</f>
        <v>662.33753006030508</v>
      </c>
      <c r="F20" s="316">
        <f t="shared" ref="F20:T20" si="3">E20/E7*F7</f>
        <v>662.33753006030508</v>
      </c>
      <c r="G20" s="316">
        <f t="shared" si="3"/>
        <v>716.93544331224086</v>
      </c>
      <c r="H20" s="316">
        <f t="shared" si="3"/>
        <v>731.27415217848568</v>
      </c>
      <c r="I20" s="316">
        <f t="shared" si="3"/>
        <v>745.89963522205539</v>
      </c>
      <c r="J20" s="316">
        <f t="shared" si="3"/>
        <v>760.81762792649647</v>
      </c>
      <c r="K20" s="316">
        <f t="shared" si="3"/>
        <v>776.0339804850264</v>
      </c>
      <c r="L20" s="316">
        <f t="shared" si="3"/>
        <v>791.55466009472696</v>
      </c>
      <c r="M20" s="316">
        <f t="shared" si="3"/>
        <v>807.38575329662149</v>
      </c>
      <c r="N20" s="316">
        <f t="shared" si="3"/>
        <v>823.533468362554</v>
      </c>
      <c r="O20" s="316">
        <f t="shared" si="3"/>
        <v>840.00413772980505</v>
      </c>
      <c r="P20" s="316">
        <f t="shared" si="3"/>
        <v>856.80422048440118</v>
      </c>
      <c r="Q20" s="316">
        <f t="shared" si="3"/>
        <v>873.94030489408931</v>
      </c>
      <c r="R20" s="316">
        <f t="shared" si="3"/>
        <v>891.41911099197125</v>
      </c>
      <c r="S20" s="316">
        <f t="shared" si="3"/>
        <v>909.24749321181071</v>
      </c>
      <c r="T20" s="316">
        <f t="shared" si="3"/>
        <v>927.43244307604698</v>
      </c>
    </row>
    <row r="21" spans="2:20" x14ac:dyDescent="0.3">
      <c r="B21" s="313" t="s">
        <v>29</v>
      </c>
      <c r="C21" s="313" t="s">
        <v>383</v>
      </c>
      <c r="D21" s="316">
        <v>1482.07698986319</v>
      </c>
      <c r="E21" s="316">
        <f>D21/D5*E5</f>
        <v>1482.07698986319</v>
      </c>
      <c r="F21" s="316">
        <f t="shared" ref="F21:T21" si="4">E21/E5*F5</f>
        <v>1596.0829121603585</v>
      </c>
      <c r="G21" s="316">
        <f t="shared" si="4"/>
        <v>1542.5459590614525</v>
      </c>
      <c r="H21" s="316">
        <f t="shared" si="4"/>
        <v>1573.3968782426816</v>
      </c>
      <c r="I21" s="316">
        <f t="shared" si="4"/>
        <v>1604.8648158075355</v>
      </c>
      <c r="J21" s="316">
        <f t="shared" si="4"/>
        <v>1636.9621121236862</v>
      </c>
      <c r="K21" s="316">
        <f t="shared" si="4"/>
        <v>1669.7013543661599</v>
      </c>
      <c r="L21" s="316">
        <f t="shared" si="4"/>
        <v>1703.095381453483</v>
      </c>
      <c r="M21" s="316">
        <f t="shared" si="4"/>
        <v>1737.1572890825528</v>
      </c>
      <c r="N21" s="316">
        <f t="shared" si="4"/>
        <v>1771.9004348642038</v>
      </c>
      <c r="O21" s="316">
        <f t="shared" si="4"/>
        <v>1807.3384435614878</v>
      </c>
      <c r="P21" s="316">
        <f t="shared" si="4"/>
        <v>1843.4852124327176</v>
      </c>
      <c r="Q21" s="316">
        <f t="shared" si="4"/>
        <v>1880.3549166813721</v>
      </c>
      <c r="R21" s="316">
        <f t="shared" si="4"/>
        <v>1917.9620150149995</v>
      </c>
      <c r="S21" s="316">
        <f t="shared" si="4"/>
        <v>1956.3212553152996</v>
      </c>
      <c r="T21" s="316">
        <f t="shared" si="4"/>
        <v>1995.4476804216054</v>
      </c>
    </row>
    <row r="22" spans="2:20" x14ac:dyDescent="0.3">
      <c r="B22" s="313" t="s">
        <v>30</v>
      </c>
      <c r="C22" s="313" t="s">
        <v>384</v>
      </c>
      <c r="D22" s="316">
        <v>1998.5127030343224</v>
      </c>
      <c r="E22" s="316">
        <v>1946.3570474896601</v>
      </c>
      <c r="F22" s="316">
        <v>1946.3570474896592</v>
      </c>
      <c r="G22" s="316">
        <v>1944.4087882346194</v>
      </c>
      <c r="H22" s="316">
        <v>1985.720070480807</v>
      </c>
      <c r="I22" s="316">
        <v>2034.1289031759243</v>
      </c>
      <c r="J22" s="316">
        <v>2083.5059125249441</v>
      </c>
      <c r="K22" s="316">
        <v>2133.8704620609442</v>
      </c>
      <c r="L22" s="316">
        <v>2185.2423025876642</v>
      </c>
      <c r="M22" s="316">
        <v>2237.6415799249185</v>
      </c>
      <c r="N22" s="316">
        <v>2291.0888428089179</v>
      </c>
      <c r="O22" s="317">
        <f t="shared" ref="O22:T22" si="5">N22/N8*O8</f>
        <v>2336.9106196650964</v>
      </c>
      <c r="P22" s="317">
        <f t="shared" si="5"/>
        <v>2383.6488320583985</v>
      </c>
      <c r="Q22" s="317">
        <f t="shared" si="5"/>
        <v>2431.3218086995666</v>
      </c>
      <c r="R22" s="317">
        <f t="shared" si="5"/>
        <v>2479.948244873558</v>
      </c>
      <c r="S22" s="317">
        <f t="shared" si="5"/>
        <v>2529.5472097710294</v>
      </c>
      <c r="T22" s="317">
        <f t="shared" si="5"/>
        <v>2580.1381539664499</v>
      </c>
    </row>
    <row r="24" spans="2:20" x14ac:dyDescent="0.3">
      <c r="C24" s="693" t="s">
        <v>385</v>
      </c>
      <c r="D24" s="693"/>
      <c r="E24" s="693"/>
      <c r="F24" s="693"/>
      <c r="G24" s="693"/>
      <c r="H24" s="693"/>
      <c r="I24" s="693"/>
      <c r="J24" s="693"/>
      <c r="K24" s="693"/>
      <c r="L24" s="693"/>
      <c r="M24" s="693"/>
      <c r="N24" s="693"/>
    </row>
    <row r="25" spans="2:20" x14ac:dyDescent="0.3">
      <c r="B25" s="318"/>
      <c r="C25" s="318" t="s">
        <v>386</v>
      </c>
      <c r="D25" s="318">
        <v>2024</v>
      </c>
      <c r="E25" s="318">
        <v>2025</v>
      </c>
      <c r="F25" s="318">
        <v>2026</v>
      </c>
      <c r="G25" s="318">
        <v>2027</v>
      </c>
      <c r="H25" s="318">
        <v>2028</v>
      </c>
      <c r="I25" s="318">
        <v>2029</v>
      </c>
      <c r="J25" s="318">
        <v>2030</v>
      </c>
      <c r="K25" s="318">
        <v>2031</v>
      </c>
      <c r="L25" s="318">
        <v>2032</v>
      </c>
      <c r="M25" s="318">
        <v>2033</v>
      </c>
      <c r="N25" s="318">
        <v>2034</v>
      </c>
      <c r="O25" s="318">
        <v>2035</v>
      </c>
      <c r="P25" s="318">
        <v>2036</v>
      </c>
      <c r="Q25" s="318">
        <v>2037</v>
      </c>
      <c r="R25" s="318">
        <v>2038</v>
      </c>
      <c r="S25" s="318">
        <v>2039</v>
      </c>
      <c r="T25" s="318">
        <v>2040</v>
      </c>
    </row>
    <row r="26" spans="2:20" x14ac:dyDescent="0.3">
      <c r="B26" s="319" t="s">
        <v>387</v>
      </c>
      <c r="C26" s="320"/>
      <c r="D26" s="321"/>
      <c r="E26" s="321"/>
      <c r="F26" s="321"/>
      <c r="G26" s="321"/>
      <c r="H26" s="321"/>
      <c r="I26" s="321"/>
      <c r="J26" s="321"/>
      <c r="K26" s="321"/>
      <c r="L26" s="321"/>
      <c r="M26" s="321"/>
      <c r="N26" s="321"/>
      <c r="O26" s="321"/>
      <c r="P26" s="321"/>
      <c r="Q26" s="321"/>
      <c r="R26" s="321"/>
      <c r="S26" s="321"/>
      <c r="T26" s="321"/>
    </row>
    <row r="27" spans="2:20" x14ac:dyDescent="0.3">
      <c r="B27" s="322" t="s">
        <v>388</v>
      </c>
      <c r="C27" s="322" t="s">
        <v>2</v>
      </c>
      <c r="D27" s="323">
        <v>0.02</v>
      </c>
      <c r="E27" s="323">
        <v>0.02</v>
      </c>
      <c r="F27" s="323">
        <v>0.02</v>
      </c>
      <c r="G27" s="323">
        <v>0.02</v>
      </c>
      <c r="H27" s="323">
        <v>0.02</v>
      </c>
      <c r="I27" s="323">
        <v>0.02</v>
      </c>
      <c r="J27" s="323">
        <v>0.02</v>
      </c>
      <c r="K27" s="323">
        <v>0.02</v>
      </c>
      <c r="L27" s="323">
        <v>0.02</v>
      </c>
      <c r="M27" s="323">
        <v>0.02</v>
      </c>
      <c r="N27" s="323">
        <v>0.02</v>
      </c>
      <c r="O27" s="323">
        <v>0.02</v>
      </c>
      <c r="P27" s="323">
        <v>0.02</v>
      </c>
      <c r="Q27" s="323">
        <v>0.02</v>
      </c>
      <c r="R27" s="323">
        <v>0.02</v>
      </c>
      <c r="S27" s="323">
        <v>0.02</v>
      </c>
      <c r="T27" s="323">
        <v>0.02</v>
      </c>
    </row>
    <row r="28" spans="2:20" x14ac:dyDescent="0.3">
      <c r="B28" s="324" t="s">
        <v>389</v>
      </c>
      <c r="C28" s="324"/>
      <c r="D28" s="325"/>
      <c r="E28" s="325"/>
      <c r="F28" s="325"/>
      <c r="G28" s="325"/>
      <c r="H28" s="325"/>
      <c r="I28" s="325"/>
      <c r="J28" s="325"/>
      <c r="K28" s="325"/>
      <c r="L28" s="325"/>
      <c r="M28" s="325"/>
      <c r="N28" s="325"/>
      <c r="O28" s="325"/>
      <c r="P28" s="325"/>
      <c r="Q28" s="325"/>
      <c r="R28" s="325"/>
      <c r="S28" s="325"/>
      <c r="T28" s="325"/>
    </row>
    <row r="29" spans="2:20" x14ac:dyDescent="0.3">
      <c r="B29" s="322" t="s">
        <v>390</v>
      </c>
      <c r="C29" s="322" t="s">
        <v>2</v>
      </c>
      <c r="D29" s="323">
        <v>0</v>
      </c>
      <c r="E29" s="323">
        <v>8.0000000000000002E-3</v>
      </c>
      <c r="F29" s="323">
        <v>3.1E-2</v>
      </c>
      <c r="G29" s="323">
        <v>3.6999999999999998E-2</v>
      </c>
      <c r="H29" s="323">
        <v>0.02</v>
      </c>
      <c r="I29" s="323">
        <v>0.02</v>
      </c>
      <c r="J29" s="323">
        <v>0.02</v>
      </c>
      <c r="K29" s="323">
        <v>0.02</v>
      </c>
      <c r="L29" s="323">
        <v>0.02</v>
      </c>
      <c r="M29" s="323">
        <v>0.02</v>
      </c>
      <c r="N29" s="323">
        <v>0.02</v>
      </c>
      <c r="O29" s="323">
        <v>0.02</v>
      </c>
      <c r="P29" s="323">
        <v>0.02</v>
      </c>
      <c r="Q29" s="323">
        <v>0.02</v>
      </c>
      <c r="R29" s="323">
        <v>0.02</v>
      </c>
      <c r="S29" s="323">
        <v>0.02</v>
      </c>
      <c r="T29" s="323">
        <v>0.02</v>
      </c>
    </row>
    <row r="30" spans="2:20" x14ac:dyDescent="0.3">
      <c r="B30" s="322"/>
      <c r="C30" s="322"/>
      <c r="D30" s="325"/>
      <c r="E30" s="325"/>
      <c r="F30" s="325"/>
      <c r="G30" s="325"/>
      <c r="H30" s="325"/>
      <c r="I30" s="325"/>
      <c r="J30" s="325"/>
      <c r="K30" s="325"/>
      <c r="L30" s="325"/>
      <c r="M30" s="325"/>
      <c r="N30" s="325"/>
      <c r="O30" s="325"/>
      <c r="P30" s="325"/>
      <c r="Q30" s="325"/>
      <c r="R30" s="325"/>
      <c r="S30" s="325"/>
      <c r="T30" s="325"/>
    </row>
    <row r="31" spans="2:20" x14ac:dyDescent="0.3">
      <c r="B31" s="326" t="s">
        <v>391</v>
      </c>
      <c r="C31" s="326" t="s">
        <v>2</v>
      </c>
      <c r="D31" s="327">
        <v>0</v>
      </c>
      <c r="E31" s="327">
        <v>0.02</v>
      </c>
      <c r="F31" s="327">
        <v>2.5999999999999999E-2</v>
      </c>
      <c r="G31" s="327">
        <v>2.5999999999999999E-2</v>
      </c>
      <c r="H31" s="327">
        <v>0.02</v>
      </c>
      <c r="I31" s="327">
        <v>0.02</v>
      </c>
      <c r="J31" s="327">
        <v>0.02</v>
      </c>
      <c r="K31" s="327">
        <v>0.02</v>
      </c>
      <c r="L31" s="327">
        <v>0.02</v>
      </c>
      <c r="M31" s="327">
        <v>0.02</v>
      </c>
      <c r="N31" s="327">
        <v>0.02</v>
      </c>
      <c r="O31" s="327">
        <v>0.02</v>
      </c>
      <c r="P31" s="327">
        <v>0.02</v>
      </c>
      <c r="Q31" s="327">
        <v>0.02</v>
      </c>
      <c r="R31" s="327">
        <v>0.02</v>
      </c>
      <c r="S31" s="327">
        <v>0.02</v>
      </c>
      <c r="T31" s="327">
        <v>0.02</v>
      </c>
    </row>
    <row r="34" spans="4:4" x14ac:dyDescent="0.3">
      <c r="D34" s="328"/>
    </row>
  </sheetData>
  <mergeCells count="3">
    <mergeCell ref="C2:N2"/>
    <mergeCell ref="C15:N15"/>
    <mergeCell ref="C24:N2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8"/>
  <sheetViews>
    <sheetView workbookViewId="0"/>
  </sheetViews>
  <sheetFormatPr defaultColWidth="9.109375" defaultRowHeight="13.8" x14ac:dyDescent="0.25"/>
  <cols>
    <col min="1" max="4" width="9.109375" style="69"/>
    <col min="5" max="5" width="16.6640625" style="69" customWidth="1"/>
    <col min="6" max="6" width="26.88671875" style="69" customWidth="1"/>
    <col min="7" max="16384" width="9.109375" style="69"/>
  </cols>
  <sheetData>
    <row r="2" spans="2:6" x14ac:dyDescent="0.25">
      <c r="C2" s="69" t="s">
        <v>91</v>
      </c>
      <c r="E2" s="69" t="s">
        <v>398</v>
      </c>
      <c r="F2" s="334" t="s">
        <v>399</v>
      </c>
    </row>
    <row r="3" spans="2:6" x14ac:dyDescent="0.25">
      <c r="B3" s="69">
        <v>2011</v>
      </c>
      <c r="C3" s="69">
        <v>1512</v>
      </c>
      <c r="D3" s="70"/>
      <c r="E3" s="69">
        <v>146.1</v>
      </c>
      <c r="F3" s="333">
        <f>C3/E3</f>
        <v>10.349075975359343</v>
      </c>
    </row>
    <row r="4" spans="2:6" x14ac:dyDescent="0.25">
      <c r="B4" s="69">
        <v>2012</v>
      </c>
      <c r="C4" s="69">
        <v>1618</v>
      </c>
      <c r="D4" s="70">
        <f t="shared" ref="D4:D20" si="0">ROUND(C4/C3-1,4)</f>
        <v>7.0099999999999996E-2</v>
      </c>
      <c r="E4" s="69">
        <v>150.19999999999999</v>
      </c>
      <c r="F4" s="333">
        <f t="shared" ref="F4:F20" si="1">C4/E4</f>
        <v>10.772303595206392</v>
      </c>
    </row>
    <row r="5" spans="2:6" x14ac:dyDescent="0.25">
      <c r="B5" s="69">
        <v>2013</v>
      </c>
      <c r="C5" s="69">
        <v>1731</v>
      </c>
      <c r="D5" s="70">
        <f t="shared" si="0"/>
        <v>6.9800000000000001E-2</v>
      </c>
      <c r="E5" s="69">
        <v>153.80000000000001</v>
      </c>
      <c r="F5" s="333">
        <f t="shared" si="1"/>
        <v>11.254876462938881</v>
      </c>
    </row>
    <row r="6" spans="2:6" x14ac:dyDescent="0.25">
      <c r="B6" s="69">
        <v>2014</v>
      </c>
      <c r="C6" s="69">
        <v>1852</v>
      </c>
      <c r="D6" s="70">
        <f t="shared" si="0"/>
        <v>6.9900000000000004E-2</v>
      </c>
      <c r="E6" s="69">
        <v>182.1</v>
      </c>
      <c r="F6" s="333">
        <f t="shared" si="1"/>
        <v>10.170236133992312</v>
      </c>
    </row>
    <row r="7" spans="2:6" x14ac:dyDescent="0.25">
      <c r="B7" s="69">
        <v>2015</v>
      </c>
      <c r="C7" s="69">
        <v>1982</v>
      </c>
      <c r="D7" s="70">
        <f t="shared" si="0"/>
        <v>7.0199999999999999E-2</v>
      </c>
      <c r="E7" s="69">
        <v>187.5</v>
      </c>
      <c r="F7" s="333">
        <f t="shared" si="1"/>
        <v>10.570666666666666</v>
      </c>
    </row>
    <row r="8" spans="2:6" x14ac:dyDescent="0.25">
      <c r="B8" s="69">
        <v>2016</v>
      </c>
      <c r="C8" s="69">
        <v>2121</v>
      </c>
      <c r="D8" s="70">
        <f t="shared" si="0"/>
        <v>7.0099999999999996E-2</v>
      </c>
      <c r="E8" s="69">
        <v>353.7</v>
      </c>
      <c r="F8" s="333">
        <f t="shared" si="1"/>
        <v>5.9966072943172186</v>
      </c>
    </row>
    <row r="9" spans="2:6" x14ac:dyDescent="0.25">
      <c r="B9" s="69">
        <v>2017</v>
      </c>
      <c r="C9" s="69">
        <v>2269</v>
      </c>
      <c r="D9" s="70">
        <f t="shared" si="0"/>
        <v>6.9800000000000001E-2</v>
      </c>
      <c r="E9" s="69">
        <v>335.2</v>
      </c>
      <c r="F9" s="333">
        <f t="shared" si="1"/>
        <v>6.7690930787589503</v>
      </c>
    </row>
    <row r="10" spans="2:6" x14ac:dyDescent="0.25">
      <c r="B10" s="69">
        <v>2018</v>
      </c>
      <c r="C10" s="69">
        <v>2405</v>
      </c>
      <c r="D10" s="70">
        <f t="shared" si="0"/>
        <v>5.9900000000000002E-2</v>
      </c>
      <c r="E10" s="69">
        <v>349.7</v>
      </c>
      <c r="F10" s="333">
        <f t="shared" si="1"/>
        <v>6.87732342007435</v>
      </c>
    </row>
    <row r="11" spans="2:6" x14ac:dyDescent="0.25">
      <c r="B11" s="69">
        <v>2019</v>
      </c>
      <c r="C11" s="69">
        <v>2525</v>
      </c>
      <c r="D11" s="70">
        <f t="shared" si="0"/>
        <v>4.99E-2</v>
      </c>
      <c r="E11" s="69">
        <v>382.75</v>
      </c>
      <c r="F11" s="333">
        <f t="shared" si="1"/>
        <v>6.5969954278249512</v>
      </c>
    </row>
    <row r="12" spans="2:6" x14ac:dyDescent="0.25">
      <c r="B12" s="69">
        <v>2020</v>
      </c>
      <c r="C12" s="69">
        <v>2651</v>
      </c>
      <c r="D12" s="70">
        <f t="shared" si="0"/>
        <v>4.99E-2</v>
      </c>
      <c r="E12" s="69">
        <v>413</v>
      </c>
      <c r="F12" s="333">
        <f t="shared" si="1"/>
        <v>6.4188861985472156</v>
      </c>
    </row>
    <row r="13" spans="2:6" x14ac:dyDescent="0.25">
      <c r="B13" s="69">
        <v>2021</v>
      </c>
      <c r="C13" s="69">
        <v>2917</v>
      </c>
      <c r="D13" s="70">
        <f t="shared" si="0"/>
        <v>0.1003</v>
      </c>
      <c r="E13" s="69">
        <v>426</v>
      </c>
      <c r="F13" s="333">
        <f t="shared" si="1"/>
        <v>6.847417840375587</v>
      </c>
    </row>
    <row r="14" spans="2:6" x14ac:dyDescent="0.25">
      <c r="B14" s="69">
        <v>2022</v>
      </c>
      <c r="C14" s="69">
        <v>3063</v>
      </c>
      <c r="D14" s="70">
        <f t="shared" si="0"/>
        <v>5.0099999999999999E-2</v>
      </c>
      <c r="E14" s="69">
        <v>460.5</v>
      </c>
      <c r="F14" s="333">
        <f t="shared" si="1"/>
        <v>6.6514657980456029</v>
      </c>
    </row>
    <row r="15" spans="2:6" x14ac:dyDescent="0.25">
      <c r="B15" s="69">
        <v>2023</v>
      </c>
      <c r="C15" s="69">
        <v>3450</v>
      </c>
      <c r="D15" s="70">
        <f t="shared" si="0"/>
        <v>0.1263</v>
      </c>
      <c r="E15" s="69">
        <v>456.3</v>
      </c>
      <c r="F15" s="333">
        <f t="shared" si="1"/>
        <v>7.5608152531229456</v>
      </c>
    </row>
    <row r="16" spans="2:6" x14ac:dyDescent="0.25">
      <c r="B16" s="69">
        <v>2024</v>
      </c>
      <c r="C16" s="69">
        <v>3692</v>
      </c>
      <c r="D16" s="70">
        <f t="shared" si="0"/>
        <v>7.0099999999999996E-2</v>
      </c>
      <c r="E16" s="69">
        <v>485.7</v>
      </c>
      <c r="F16" s="333">
        <f t="shared" si="1"/>
        <v>7.6014000411776816</v>
      </c>
    </row>
    <row r="17" spans="2:10" x14ac:dyDescent="0.25">
      <c r="B17" s="69">
        <v>2025</v>
      </c>
      <c r="C17" s="69">
        <v>3932</v>
      </c>
      <c r="D17" s="70">
        <f t="shared" si="0"/>
        <v>6.5000000000000002E-2</v>
      </c>
      <c r="E17" s="69">
        <v>519</v>
      </c>
      <c r="F17" s="333">
        <f t="shared" si="1"/>
        <v>7.5761078998073215</v>
      </c>
    </row>
    <row r="18" spans="2:10" x14ac:dyDescent="0.25">
      <c r="B18" s="69">
        <v>2026</v>
      </c>
      <c r="C18" s="69">
        <v>4129</v>
      </c>
      <c r="D18" s="70">
        <f t="shared" si="0"/>
        <v>5.0099999999999999E-2</v>
      </c>
      <c r="E18" s="69">
        <v>515</v>
      </c>
      <c r="F18" s="333">
        <f t="shared" si="1"/>
        <v>8.0174757281553397</v>
      </c>
    </row>
    <row r="19" spans="2:10" x14ac:dyDescent="0.25">
      <c r="B19" s="69">
        <v>2027</v>
      </c>
      <c r="C19" s="69">
        <v>4335</v>
      </c>
      <c r="D19" s="70">
        <f t="shared" si="0"/>
        <v>4.99E-2</v>
      </c>
      <c r="E19" s="69">
        <v>494</v>
      </c>
      <c r="F19" s="333">
        <f t="shared" si="1"/>
        <v>8.7753036437246958</v>
      </c>
    </row>
    <row r="20" spans="2:10" x14ac:dyDescent="0.25">
      <c r="B20" s="69">
        <v>2028</v>
      </c>
      <c r="C20" s="69">
        <v>4552</v>
      </c>
      <c r="D20" s="70">
        <f t="shared" si="0"/>
        <v>5.0099999999999999E-2</v>
      </c>
      <c r="E20" s="69">
        <v>450</v>
      </c>
      <c r="F20" s="333">
        <f t="shared" si="1"/>
        <v>10.115555555555556</v>
      </c>
    </row>
    <row r="23" spans="2:10" x14ac:dyDescent="0.25">
      <c r="B23" s="330"/>
      <c r="C23" s="330"/>
      <c r="D23" s="330"/>
      <c r="E23" s="330"/>
      <c r="F23" s="330"/>
      <c r="G23" s="330"/>
      <c r="H23" s="330"/>
      <c r="I23" s="330"/>
      <c r="J23" s="330"/>
    </row>
    <row r="24" spans="2:10" x14ac:dyDescent="0.25">
      <c r="B24" s="330"/>
      <c r="C24" s="330"/>
      <c r="D24" s="330"/>
      <c r="E24" s="330"/>
      <c r="F24" s="330"/>
      <c r="G24" s="330"/>
      <c r="H24" s="330"/>
      <c r="I24" s="330"/>
      <c r="J24" s="330"/>
    </row>
    <row r="25" spans="2:10" ht="15.6" x14ac:dyDescent="0.25">
      <c r="B25" s="330"/>
      <c r="C25" s="331"/>
      <c r="D25" s="331"/>
      <c r="E25" s="331"/>
      <c r="F25" s="330"/>
      <c r="G25" s="331"/>
      <c r="H25" s="330"/>
      <c r="I25" s="330"/>
      <c r="J25" s="330"/>
    </row>
    <row r="26" spans="2:10" ht="15.6" x14ac:dyDescent="0.25">
      <c r="B26" s="330"/>
      <c r="C26" s="332"/>
      <c r="D26" s="332"/>
      <c r="E26" s="332"/>
      <c r="F26" s="330"/>
      <c r="G26" s="332"/>
      <c r="H26" s="330"/>
      <c r="I26" s="330"/>
      <c r="J26" s="330"/>
    </row>
    <row r="27" spans="2:10" ht="15.6" x14ac:dyDescent="0.25">
      <c r="B27" s="330"/>
      <c r="C27" s="332"/>
      <c r="D27" s="332"/>
      <c r="E27" s="332"/>
      <c r="F27" s="330"/>
      <c r="G27" s="332"/>
      <c r="H27" s="330"/>
      <c r="I27" s="330"/>
      <c r="J27" s="330"/>
    </row>
    <row r="28" spans="2:10" ht="15.6" x14ac:dyDescent="0.25">
      <c r="B28" s="330"/>
      <c r="C28" s="332"/>
      <c r="D28" s="332"/>
      <c r="E28" s="332"/>
      <c r="F28" s="330"/>
      <c r="G28" s="332"/>
      <c r="H28" s="330"/>
      <c r="I28" s="330"/>
      <c r="J28" s="330"/>
    </row>
  </sheetData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/>
  </sheetViews>
  <sheetFormatPr defaultRowHeight="14.4" x14ac:dyDescent="0.3"/>
  <cols>
    <col min="1" max="1" width="16.44140625" customWidth="1"/>
    <col min="2" max="2" width="10.6640625" customWidth="1"/>
    <col min="3" max="4" width="11.44140625" customWidth="1"/>
  </cols>
  <sheetData>
    <row r="1" spans="1:3" x14ac:dyDescent="0.3">
      <c r="A1" s="32" t="s">
        <v>166</v>
      </c>
      <c r="B1" s="32" t="s">
        <v>102</v>
      </c>
      <c r="C1" s="32" t="s">
        <v>103</v>
      </c>
    </row>
    <row r="2" spans="1:3" x14ac:dyDescent="0.3">
      <c r="A2" s="32" t="s">
        <v>104</v>
      </c>
      <c r="B2" s="33">
        <v>7</v>
      </c>
      <c r="C2" s="33">
        <v>12.2</v>
      </c>
    </row>
    <row r="3" spans="1:3" x14ac:dyDescent="0.3">
      <c r="A3" s="32" t="s">
        <v>105</v>
      </c>
      <c r="B3" s="33">
        <v>7.72</v>
      </c>
      <c r="C3" s="33">
        <v>12.78</v>
      </c>
    </row>
    <row r="4" spans="1:3" x14ac:dyDescent="0.3">
      <c r="A4" s="32" t="s">
        <v>106</v>
      </c>
      <c r="B4" s="33">
        <v>7.2</v>
      </c>
      <c r="C4" s="33">
        <v>12.9</v>
      </c>
    </row>
    <row r="5" spans="1:3" x14ac:dyDescent="0.3">
      <c r="A5" s="32" t="s">
        <v>107</v>
      </c>
      <c r="B5" s="33">
        <v>11.4</v>
      </c>
      <c r="C5" s="33">
        <v>13.6</v>
      </c>
    </row>
    <row r="6" spans="1:3" x14ac:dyDescent="0.3">
      <c r="A6" s="32" t="s">
        <v>108</v>
      </c>
      <c r="B6" s="33">
        <v>7.2</v>
      </c>
      <c r="C6" s="33">
        <v>12.3</v>
      </c>
    </row>
    <row r="7" spans="1:3" x14ac:dyDescent="0.3">
      <c r="A7" s="32" t="s">
        <v>109</v>
      </c>
      <c r="B7" s="33">
        <v>6.2</v>
      </c>
      <c r="C7" s="33">
        <v>10.9</v>
      </c>
    </row>
    <row r="8" spans="1:3" x14ac:dyDescent="0.3">
      <c r="A8" s="32" t="s">
        <v>110</v>
      </c>
      <c r="B8" s="33">
        <v>7.4</v>
      </c>
      <c r="C8" s="33">
        <v>11.3</v>
      </c>
    </row>
    <row r="9" spans="1:3" x14ac:dyDescent="0.3">
      <c r="A9" s="32" t="s">
        <v>111</v>
      </c>
      <c r="B9" s="33">
        <v>7.4</v>
      </c>
      <c r="C9" s="33">
        <v>11.3</v>
      </c>
    </row>
    <row r="10" spans="1:3" x14ac:dyDescent="0.3">
      <c r="A10" s="34" t="s">
        <v>112</v>
      </c>
      <c r="B10" s="35">
        <v>7.54</v>
      </c>
      <c r="C10" s="35">
        <v>12.13</v>
      </c>
    </row>
  </sheetData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A7" workbookViewId="0"/>
  </sheetViews>
  <sheetFormatPr defaultColWidth="9.109375" defaultRowHeight="15" x14ac:dyDescent="0.25"/>
  <cols>
    <col min="1" max="1" width="9.88671875" style="300" customWidth="1"/>
    <col min="2" max="2" width="11.44140625" style="300" customWidth="1"/>
    <col min="3" max="3" width="19.6640625" style="300" customWidth="1"/>
    <col min="4" max="4" width="20.5546875" style="300" customWidth="1"/>
    <col min="5" max="5" width="22.44140625" style="300" customWidth="1"/>
    <col min="6" max="16384" width="9.109375" style="300"/>
  </cols>
  <sheetData>
    <row r="1" spans="1:5" s="284" customFormat="1" x14ac:dyDescent="0.3">
      <c r="A1" s="284" t="s">
        <v>355</v>
      </c>
      <c r="C1" s="285"/>
    </row>
    <row r="2" spans="1:5" s="284" customFormat="1" ht="15.6" x14ac:dyDescent="0.3">
      <c r="A2" s="286" t="s">
        <v>356</v>
      </c>
      <c r="C2" s="285"/>
    </row>
    <row r="4" spans="1:5" s="287" customFormat="1" ht="15.6" x14ac:dyDescent="0.3">
      <c r="A4" s="696" t="s">
        <v>357</v>
      </c>
      <c r="B4" s="696"/>
      <c r="C4" s="696"/>
      <c r="D4" s="696"/>
      <c r="E4" s="696"/>
    </row>
    <row r="5" spans="1:5" s="287" customFormat="1" ht="15.6" x14ac:dyDescent="0.3">
      <c r="A5" s="288"/>
      <c r="B5" s="288"/>
      <c r="C5" s="288"/>
      <c r="D5" s="288"/>
      <c r="E5" s="288"/>
    </row>
    <row r="6" spans="1:5" s="287" customFormat="1" x14ac:dyDescent="0.25">
      <c r="A6" s="695" t="s">
        <v>174</v>
      </c>
      <c r="B6" s="697" t="s">
        <v>358</v>
      </c>
      <c r="C6" s="698"/>
      <c r="D6" s="289"/>
      <c r="E6" s="289"/>
    </row>
    <row r="7" spans="1:5" s="287" customFormat="1" x14ac:dyDescent="0.25">
      <c r="A7" s="695"/>
      <c r="B7" s="290" t="s">
        <v>359</v>
      </c>
      <c r="C7" s="291" t="s">
        <v>360</v>
      </c>
      <c r="D7" s="292" t="s">
        <v>361</v>
      </c>
      <c r="E7" s="292"/>
    </row>
    <row r="8" spans="1:5" s="287" customFormat="1" ht="60" x14ac:dyDescent="0.25">
      <c r="A8" s="694" t="s">
        <v>122</v>
      </c>
      <c r="B8" s="293"/>
      <c r="C8" s="294">
        <v>14.99</v>
      </c>
      <c r="D8" s="295" t="s">
        <v>362</v>
      </c>
      <c r="E8" s="296"/>
    </row>
    <row r="9" spans="1:5" s="287" customFormat="1" x14ac:dyDescent="0.25">
      <c r="A9" s="695"/>
      <c r="B9" s="290">
        <v>15</v>
      </c>
      <c r="C9" s="291">
        <v>17.989999999999998</v>
      </c>
      <c r="D9" s="297">
        <v>92.5</v>
      </c>
      <c r="E9" s="297"/>
    </row>
    <row r="10" spans="1:5" s="287" customFormat="1" x14ac:dyDescent="0.25">
      <c r="A10" s="695"/>
      <c r="B10" s="290">
        <v>18</v>
      </c>
      <c r="C10" s="291">
        <v>19.989999999999998</v>
      </c>
      <c r="D10" s="298">
        <v>93</v>
      </c>
      <c r="E10" s="298"/>
    </row>
    <row r="11" spans="1:5" x14ac:dyDescent="0.25">
      <c r="A11" s="695"/>
      <c r="B11" s="290">
        <v>20</v>
      </c>
      <c r="C11" s="299">
        <v>22</v>
      </c>
      <c r="D11" s="297">
        <v>93.5</v>
      </c>
      <c r="E11" s="297"/>
    </row>
    <row r="12" spans="1:5" x14ac:dyDescent="0.25">
      <c r="A12" s="695"/>
      <c r="B12" s="290">
        <v>22.01</v>
      </c>
      <c r="C12" s="291" t="s">
        <v>363</v>
      </c>
      <c r="D12" s="297">
        <v>94</v>
      </c>
      <c r="E12" s="297"/>
    </row>
    <row r="13" spans="1:5" x14ac:dyDescent="0.25">
      <c r="A13" s="301"/>
      <c r="B13" s="302"/>
      <c r="C13" s="302"/>
      <c r="D13" s="297"/>
      <c r="E13" s="297"/>
    </row>
    <row r="14" spans="1:5" ht="15" customHeight="1" x14ac:dyDescent="0.25">
      <c r="A14" s="695" t="s">
        <v>174</v>
      </c>
      <c r="B14" s="697" t="s">
        <v>364</v>
      </c>
      <c r="C14" s="698"/>
      <c r="D14" s="695" t="s">
        <v>361</v>
      </c>
      <c r="E14" s="695" t="s">
        <v>365</v>
      </c>
    </row>
    <row r="15" spans="1:5" x14ac:dyDescent="0.25">
      <c r="A15" s="695"/>
      <c r="B15" s="290" t="s">
        <v>359</v>
      </c>
      <c r="C15" s="291" t="s">
        <v>360</v>
      </c>
      <c r="D15" s="695"/>
      <c r="E15" s="695"/>
    </row>
    <row r="16" spans="1:5" x14ac:dyDescent="0.25">
      <c r="A16" s="694" t="s">
        <v>125</v>
      </c>
      <c r="B16" s="303">
        <v>0</v>
      </c>
      <c r="C16" s="304">
        <v>1</v>
      </c>
      <c r="D16" s="298">
        <v>0</v>
      </c>
      <c r="E16" s="298">
        <v>0</v>
      </c>
    </row>
    <row r="17" spans="1:5" x14ac:dyDescent="0.25">
      <c r="A17" s="695"/>
      <c r="B17" s="297">
        <v>1.1000000000000001</v>
      </c>
      <c r="C17" s="299">
        <v>3</v>
      </c>
      <c r="D17" s="298">
        <v>90</v>
      </c>
      <c r="E17" s="305">
        <v>91.27</v>
      </c>
    </row>
    <row r="18" spans="1:5" x14ac:dyDescent="0.25">
      <c r="A18" s="695"/>
      <c r="B18" s="297">
        <v>3.1</v>
      </c>
      <c r="C18" s="299">
        <v>5</v>
      </c>
      <c r="D18" s="298">
        <v>92</v>
      </c>
      <c r="E18" s="305">
        <v>93.3</v>
      </c>
    </row>
    <row r="19" spans="1:5" x14ac:dyDescent="0.25">
      <c r="A19" s="695"/>
      <c r="B19" s="297">
        <v>5.0999999999999996</v>
      </c>
      <c r="C19" s="299">
        <v>8</v>
      </c>
      <c r="D19" s="297">
        <v>93.5</v>
      </c>
      <c r="E19" s="305">
        <v>94.82</v>
      </c>
    </row>
    <row r="20" spans="1:5" x14ac:dyDescent="0.25">
      <c r="A20" s="695"/>
      <c r="B20" s="297">
        <v>8.1</v>
      </c>
      <c r="C20" s="299">
        <v>10</v>
      </c>
      <c r="D20" s="297">
        <v>94.5</v>
      </c>
      <c r="E20" s="305">
        <v>95.84</v>
      </c>
    </row>
    <row r="21" spans="1:5" x14ac:dyDescent="0.25">
      <c r="A21" s="695"/>
      <c r="B21" s="297">
        <v>10.1</v>
      </c>
      <c r="C21" s="306" t="s">
        <v>363</v>
      </c>
      <c r="D21" s="298">
        <v>95</v>
      </c>
      <c r="E21" s="305">
        <v>96.34</v>
      </c>
    </row>
    <row r="22" spans="1:5" x14ac:dyDescent="0.25">
      <c r="A22" s="301"/>
      <c r="B22" s="307"/>
      <c r="C22" s="307"/>
      <c r="D22" s="297"/>
      <c r="E22" s="297"/>
    </row>
    <row r="23" spans="1:5" ht="15" customHeight="1" x14ac:dyDescent="0.25">
      <c r="A23" s="699" t="s">
        <v>174</v>
      </c>
      <c r="B23" s="700" t="s">
        <v>364</v>
      </c>
      <c r="C23" s="701"/>
      <c r="D23" s="695" t="s">
        <v>361</v>
      </c>
      <c r="E23" s="695" t="s">
        <v>365</v>
      </c>
    </row>
    <row r="24" spans="1:5" x14ac:dyDescent="0.25">
      <c r="A24" s="694"/>
      <c r="B24" s="290" t="s">
        <v>359</v>
      </c>
      <c r="C24" s="291" t="s">
        <v>360</v>
      </c>
      <c r="D24" s="695"/>
      <c r="E24" s="695"/>
    </row>
    <row r="25" spans="1:5" x14ac:dyDescent="0.25">
      <c r="A25" s="694" t="s">
        <v>126</v>
      </c>
      <c r="B25" s="293"/>
      <c r="C25" s="308">
        <v>29.9</v>
      </c>
      <c r="D25" s="298">
        <v>0</v>
      </c>
      <c r="E25" s="298">
        <v>0</v>
      </c>
    </row>
    <row r="26" spans="1:5" x14ac:dyDescent="0.25">
      <c r="A26" s="695"/>
      <c r="B26" s="297">
        <v>30</v>
      </c>
      <c r="C26" s="291" t="s">
        <v>363</v>
      </c>
      <c r="D26" s="298">
        <v>90</v>
      </c>
      <c r="E26" s="305">
        <v>92.78</v>
      </c>
    </row>
  </sheetData>
  <mergeCells count="14">
    <mergeCell ref="A25:A26"/>
    <mergeCell ref="A4:E4"/>
    <mergeCell ref="A6:A7"/>
    <mergeCell ref="B6:C6"/>
    <mergeCell ref="A8:A12"/>
    <mergeCell ref="A14:A15"/>
    <mergeCell ref="B14:C14"/>
    <mergeCell ref="D14:D15"/>
    <mergeCell ref="E14:E15"/>
    <mergeCell ref="A16:A21"/>
    <mergeCell ref="A23:A24"/>
    <mergeCell ref="B23:C23"/>
    <mergeCell ref="D23:D24"/>
    <mergeCell ref="E23:E2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I21" sqref="I21"/>
    </sheetView>
  </sheetViews>
  <sheetFormatPr defaultRowHeight="14.4" x14ac:dyDescent="0.3"/>
  <cols>
    <col min="1" max="1" width="24.88671875" customWidth="1"/>
    <col min="2" max="2" width="18.44140625" customWidth="1"/>
    <col min="3" max="3" width="24.44140625" customWidth="1"/>
    <col min="4" max="4" width="25" customWidth="1"/>
    <col min="5" max="6" width="25.44140625" customWidth="1"/>
    <col min="7" max="7" width="25.109375" customWidth="1"/>
    <col min="8" max="8" width="36.88671875" customWidth="1"/>
    <col min="9" max="9" width="20.88671875" customWidth="1"/>
  </cols>
  <sheetData>
    <row r="1" spans="1:9" x14ac:dyDescent="0.3">
      <c r="A1" s="702"/>
      <c r="B1" s="702"/>
      <c r="C1" s="702"/>
      <c r="D1" s="703"/>
      <c r="E1" s="704"/>
      <c r="F1" s="705"/>
      <c r="G1" s="706"/>
      <c r="H1" s="707"/>
      <c r="I1" s="707"/>
    </row>
    <row r="2" spans="1:9" x14ac:dyDescent="0.3">
      <c r="A2" s="702"/>
      <c r="B2" s="702"/>
      <c r="C2" s="702"/>
      <c r="D2" s="32" t="s">
        <v>522</v>
      </c>
      <c r="E2" s="32" t="s">
        <v>523</v>
      </c>
      <c r="F2" s="32" t="s">
        <v>214</v>
      </c>
      <c r="G2" s="32" t="s">
        <v>524</v>
      </c>
      <c r="H2" s="32" t="s">
        <v>525</v>
      </c>
      <c r="I2" s="32" t="s">
        <v>214</v>
      </c>
    </row>
    <row r="3" spans="1:9" ht="26.4" x14ac:dyDescent="0.3">
      <c r="A3" s="339" t="s">
        <v>404</v>
      </c>
      <c r="B3" s="340" t="s">
        <v>2</v>
      </c>
      <c r="C3" s="548">
        <v>0.1</v>
      </c>
      <c r="D3" s="341">
        <v>9262661346.829998</v>
      </c>
      <c r="E3" s="32">
        <v>42176406277</v>
      </c>
      <c r="F3" s="33">
        <f>D3+E3</f>
        <v>51439067623.830002</v>
      </c>
      <c r="G3" s="545">
        <f>D3/1000/'Инфл. тенге'!$E$15</f>
        <v>20299.498897282483</v>
      </c>
      <c r="H3" s="545">
        <f>E3/1000/'Инфл. тенге'!$E$15</f>
        <v>92431.308956826659</v>
      </c>
      <c r="I3" s="33">
        <f>G3+H3</f>
        <v>112730.80785410914</v>
      </c>
    </row>
    <row r="4" spans="1:9" ht="26.4" x14ac:dyDescent="0.3">
      <c r="A4" s="339" t="s">
        <v>405</v>
      </c>
      <c r="B4" s="340" t="s">
        <v>2</v>
      </c>
      <c r="C4" s="548">
        <v>0.25</v>
      </c>
      <c r="D4" s="341">
        <v>4110353827.4699998</v>
      </c>
      <c r="E4" s="32">
        <v>11402856975</v>
      </c>
      <c r="F4" s="33">
        <f t="shared" ref="F4:F8" si="0">D4+E4</f>
        <v>15513210802.469999</v>
      </c>
      <c r="G4" s="545">
        <f>D4/1000/'Инфл. тенге'!$E$15</f>
        <v>9008.0075114398423</v>
      </c>
      <c r="H4" s="545">
        <f>E4/1000/'Инфл. тенге'!$E$15</f>
        <v>24989.824621959237</v>
      </c>
      <c r="I4" s="33">
        <f t="shared" ref="I4:I8" si="1">G4+H4</f>
        <v>33997.832133399075</v>
      </c>
    </row>
    <row r="5" spans="1:9" ht="39.6" x14ac:dyDescent="0.3">
      <c r="A5" s="339" t="s">
        <v>406</v>
      </c>
      <c r="B5" s="340" t="s">
        <v>2</v>
      </c>
      <c r="C5" s="548">
        <v>0.4</v>
      </c>
      <c r="D5" s="342">
        <v>65103987.340000004</v>
      </c>
      <c r="E5" s="32">
        <v>154487420.40000001</v>
      </c>
      <c r="F5" s="33">
        <f t="shared" si="0"/>
        <v>219591407.74000001</v>
      </c>
      <c r="G5" s="545">
        <f>D5/1000/'Инфл. тенге'!$E$15</f>
        <v>142.67803493315802</v>
      </c>
      <c r="H5" s="545">
        <f>E5/1000/'Инфл. тенге'!$E$15</f>
        <v>338.56546219592371</v>
      </c>
      <c r="I5" s="33">
        <f t="shared" si="1"/>
        <v>481.24349712908173</v>
      </c>
    </row>
    <row r="6" spans="1:9" ht="39.6" x14ac:dyDescent="0.3">
      <c r="A6" s="339" t="s">
        <v>407</v>
      </c>
      <c r="B6" s="340" t="s">
        <v>2</v>
      </c>
      <c r="C6" s="548">
        <v>0.15</v>
      </c>
      <c r="D6" s="342">
        <v>3364753871</v>
      </c>
      <c r="E6" s="32">
        <v>959904149</v>
      </c>
      <c r="F6" s="33">
        <f t="shared" si="0"/>
        <v>4324658020</v>
      </c>
      <c r="G6" s="545">
        <f>D6/1000/'Инфл. тенге'!$E$15</f>
        <v>7373.9948959018184</v>
      </c>
      <c r="H6" s="545">
        <f>E6/1000/'Инфл. тенге'!$E$15</f>
        <v>2103.6689655928117</v>
      </c>
      <c r="I6" s="33">
        <f t="shared" si="1"/>
        <v>9477.6638614946296</v>
      </c>
    </row>
    <row r="7" spans="1:9" x14ac:dyDescent="0.3">
      <c r="A7" s="343" t="s">
        <v>408</v>
      </c>
      <c r="B7" s="344" t="s">
        <v>2</v>
      </c>
      <c r="C7" s="549">
        <v>0.25</v>
      </c>
      <c r="D7" s="345"/>
      <c r="E7" s="346"/>
      <c r="F7" s="33">
        <f t="shared" si="0"/>
        <v>0</v>
      </c>
      <c r="G7" s="545">
        <f>D7/1000/'Инфл. тенге'!$E$15</f>
        <v>0</v>
      </c>
      <c r="H7" s="545">
        <f>E7/1000/'Инфл. тенге'!$E$15</f>
        <v>0</v>
      </c>
      <c r="I7" s="33">
        <f t="shared" si="1"/>
        <v>0</v>
      </c>
    </row>
    <row r="8" spans="1:9" x14ac:dyDescent="0.3">
      <c r="A8" s="546" t="s">
        <v>409</v>
      </c>
      <c r="B8" s="546"/>
      <c r="C8" s="546"/>
      <c r="D8" s="341">
        <f>D3+D4+D5+D6+D7</f>
        <v>16802873032.639997</v>
      </c>
      <c r="E8" s="341">
        <f>E3+E4+E5+E6+E7</f>
        <v>54693654821.400002</v>
      </c>
      <c r="F8" s="33">
        <f t="shared" si="0"/>
        <v>71496527854.039993</v>
      </c>
      <c r="G8" s="547">
        <f>D8/1000/'Инфл. тенге'!$E$15</f>
        <v>36824.179339557304</v>
      </c>
      <c r="H8" s="547">
        <f>E8/1000/'Инфл. тенге'!$E$15</f>
        <v>119863.36800657462</v>
      </c>
      <c r="I8" s="33">
        <f t="shared" si="1"/>
        <v>156687.54734613193</v>
      </c>
    </row>
  </sheetData>
  <mergeCells count="5">
    <mergeCell ref="A1:A2"/>
    <mergeCell ref="B1:B2"/>
    <mergeCell ref="C1:C2"/>
    <mergeCell ref="D1:F1"/>
    <mergeCell ref="G1:I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topLeftCell="A43" workbookViewId="0">
      <selection activeCell="D37" sqref="D37"/>
    </sheetView>
  </sheetViews>
  <sheetFormatPr defaultRowHeight="14.4" x14ac:dyDescent="0.3"/>
  <cols>
    <col min="1" max="1" width="38.33203125" bestFit="1" customWidth="1"/>
    <col min="2" max="2" width="6.109375" customWidth="1"/>
    <col min="3" max="14" width="9.6640625" customWidth="1"/>
    <col min="17" max="17" width="9.44140625" customWidth="1"/>
    <col min="251" max="251" width="38.33203125" bestFit="1" customWidth="1"/>
    <col min="252" max="252" width="6.109375" customWidth="1"/>
    <col min="253" max="264" width="9.6640625" customWidth="1"/>
    <col min="267" max="267" width="19.109375" bestFit="1" customWidth="1"/>
    <col min="507" max="507" width="38.33203125" bestFit="1" customWidth="1"/>
    <col min="508" max="508" width="6.109375" customWidth="1"/>
    <col min="509" max="520" width="9.6640625" customWidth="1"/>
    <col min="523" max="523" width="19.109375" bestFit="1" customWidth="1"/>
    <col min="763" max="763" width="38.33203125" bestFit="1" customWidth="1"/>
    <col min="764" max="764" width="6.109375" customWidth="1"/>
    <col min="765" max="776" width="9.6640625" customWidth="1"/>
    <col min="779" max="779" width="19.109375" bestFit="1" customWidth="1"/>
    <col min="1019" max="1019" width="38.33203125" bestFit="1" customWidth="1"/>
    <col min="1020" max="1020" width="6.109375" customWidth="1"/>
    <col min="1021" max="1032" width="9.6640625" customWidth="1"/>
    <col min="1035" max="1035" width="19.109375" bestFit="1" customWidth="1"/>
    <col min="1275" max="1275" width="38.33203125" bestFit="1" customWidth="1"/>
    <col min="1276" max="1276" width="6.109375" customWidth="1"/>
    <col min="1277" max="1288" width="9.6640625" customWidth="1"/>
    <col min="1291" max="1291" width="19.109375" bestFit="1" customWidth="1"/>
    <col min="1531" max="1531" width="38.33203125" bestFit="1" customWidth="1"/>
    <col min="1532" max="1532" width="6.109375" customWidth="1"/>
    <col min="1533" max="1544" width="9.6640625" customWidth="1"/>
    <col min="1547" max="1547" width="19.109375" bestFit="1" customWidth="1"/>
    <col min="1787" max="1787" width="38.33203125" bestFit="1" customWidth="1"/>
    <col min="1788" max="1788" width="6.109375" customWidth="1"/>
    <col min="1789" max="1800" width="9.6640625" customWidth="1"/>
    <col min="1803" max="1803" width="19.109375" bestFit="1" customWidth="1"/>
    <col min="2043" max="2043" width="38.33203125" bestFit="1" customWidth="1"/>
    <col min="2044" max="2044" width="6.109375" customWidth="1"/>
    <col min="2045" max="2056" width="9.6640625" customWidth="1"/>
    <col min="2059" max="2059" width="19.109375" bestFit="1" customWidth="1"/>
    <col min="2299" max="2299" width="38.33203125" bestFit="1" customWidth="1"/>
    <col min="2300" max="2300" width="6.109375" customWidth="1"/>
    <col min="2301" max="2312" width="9.6640625" customWidth="1"/>
    <col min="2315" max="2315" width="19.109375" bestFit="1" customWidth="1"/>
    <col min="2555" max="2555" width="38.33203125" bestFit="1" customWidth="1"/>
    <col min="2556" max="2556" width="6.109375" customWidth="1"/>
    <col min="2557" max="2568" width="9.6640625" customWidth="1"/>
    <col min="2571" max="2571" width="19.109375" bestFit="1" customWidth="1"/>
    <col min="2811" max="2811" width="38.33203125" bestFit="1" customWidth="1"/>
    <col min="2812" max="2812" width="6.109375" customWidth="1"/>
    <col min="2813" max="2824" width="9.6640625" customWidth="1"/>
    <col min="2827" max="2827" width="19.109375" bestFit="1" customWidth="1"/>
    <col min="3067" max="3067" width="38.33203125" bestFit="1" customWidth="1"/>
    <col min="3068" max="3068" width="6.109375" customWidth="1"/>
    <col min="3069" max="3080" width="9.6640625" customWidth="1"/>
    <col min="3083" max="3083" width="19.109375" bestFit="1" customWidth="1"/>
    <col min="3323" max="3323" width="38.33203125" bestFit="1" customWidth="1"/>
    <col min="3324" max="3324" width="6.109375" customWidth="1"/>
    <col min="3325" max="3336" width="9.6640625" customWidth="1"/>
    <col min="3339" max="3339" width="19.109375" bestFit="1" customWidth="1"/>
    <col min="3579" max="3579" width="38.33203125" bestFit="1" customWidth="1"/>
    <col min="3580" max="3580" width="6.109375" customWidth="1"/>
    <col min="3581" max="3592" width="9.6640625" customWidth="1"/>
    <col min="3595" max="3595" width="19.109375" bestFit="1" customWidth="1"/>
    <col min="3835" max="3835" width="38.33203125" bestFit="1" customWidth="1"/>
    <col min="3836" max="3836" width="6.109375" customWidth="1"/>
    <col min="3837" max="3848" width="9.6640625" customWidth="1"/>
    <col min="3851" max="3851" width="19.109375" bestFit="1" customWidth="1"/>
    <col min="4091" max="4091" width="38.33203125" bestFit="1" customWidth="1"/>
    <col min="4092" max="4092" width="6.109375" customWidth="1"/>
    <col min="4093" max="4104" width="9.6640625" customWidth="1"/>
    <col min="4107" max="4107" width="19.109375" bestFit="1" customWidth="1"/>
    <col min="4347" max="4347" width="38.33203125" bestFit="1" customWidth="1"/>
    <col min="4348" max="4348" width="6.109375" customWidth="1"/>
    <col min="4349" max="4360" width="9.6640625" customWidth="1"/>
    <col min="4363" max="4363" width="19.109375" bestFit="1" customWidth="1"/>
    <col min="4603" max="4603" width="38.33203125" bestFit="1" customWidth="1"/>
    <col min="4604" max="4604" width="6.109375" customWidth="1"/>
    <col min="4605" max="4616" width="9.6640625" customWidth="1"/>
    <col min="4619" max="4619" width="19.109375" bestFit="1" customWidth="1"/>
    <col min="4859" max="4859" width="38.33203125" bestFit="1" customWidth="1"/>
    <col min="4860" max="4860" width="6.109375" customWidth="1"/>
    <col min="4861" max="4872" width="9.6640625" customWidth="1"/>
    <col min="4875" max="4875" width="19.109375" bestFit="1" customWidth="1"/>
    <col min="5115" max="5115" width="38.33203125" bestFit="1" customWidth="1"/>
    <col min="5116" max="5116" width="6.109375" customWidth="1"/>
    <col min="5117" max="5128" width="9.6640625" customWidth="1"/>
    <col min="5131" max="5131" width="19.109375" bestFit="1" customWidth="1"/>
    <col min="5371" max="5371" width="38.33203125" bestFit="1" customWidth="1"/>
    <col min="5372" max="5372" width="6.109375" customWidth="1"/>
    <col min="5373" max="5384" width="9.6640625" customWidth="1"/>
    <col min="5387" max="5387" width="19.109375" bestFit="1" customWidth="1"/>
    <col min="5627" max="5627" width="38.33203125" bestFit="1" customWidth="1"/>
    <col min="5628" max="5628" width="6.109375" customWidth="1"/>
    <col min="5629" max="5640" width="9.6640625" customWidth="1"/>
    <col min="5643" max="5643" width="19.109375" bestFit="1" customWidth="1"/>
    <col min="5883" max="5883" width="38.33203125" bestFit="1" customWidth="1"/>
    <col min="5884" max="5884" width="6.109375" customWidth="1"/>
    <col min="5885" max="5896" width="9.6640625" customWidth="1"/>
    <col min="5899" max="5899" width="19.109375" bestFit="1" customWidth="1"/>
    <col min="6139" max="6139" width="38.33203125" bestFit="1" customWidth="1"/>
    <col min="6140" max="6140" width="6.109375" customWidth="1"/>
    <col min="6141" max="6152" width="9.6640625" customWidth="1"/>
    <col min="6155" max="6155" width="19.109375" bestFit="1" customWidth="1"/>
    <col min="6395" max="6395" width="38.33203125" bestFit="1" customWidth="1"/>
    <col min="6396" max="6396" width="6.109375" customWidth="1"/>
    <col min="6397" max="6408" width="9.6640625" customWidth="1"/>
    <col min="6411" max="6411" width="19.109375" bestFit="1" customWidth="1"/>
    <col min="6651" max="6651" width="38.33203125" bestFit="1" customWidth="1"/>
    <col min="6652" max="6652" width="6.109375" customWidth="1"/>
    <col min="6653" max="6664" width="9.6640625" customWidth="1"/>
    <col min="6667" max="6667" width="19.109375" bestFit="1" customWidth="1"/>
    <col min="6907" max="6907" width="38.33203125" bestFit="1" customWidth="1"/>
    <col min="6908" max="6908" width="6.109375" customWidth="1"/>
    <col min="6909" max="6920" width="9.6640625" customWidth="1"/>
    <col min="6923" max="6923" width="19.109375" bestFit="1" customWidth="1"/>
    <col min="7163" max="7163" width="38.33203125" bestFit="1" customWidth="1"/>
    <col min="7164" max="7164" width="6.109375" customWidth="1"/>
    <col min="7165" max="7176" width="9.6640625" customWidth="1"/>
    <col min="7179" max="7179" width="19.109375" bestFit="1" customWidth="1"/>
    <col min="7419" max="7419" width="38.33203125" bestFit="1" customWidth="1"/>
    <col min="7420" max="7420" width="6.109375" customWidth="1"/>
    <col min="7421" max="7432" width="9.6640625" customWidth="1"/>
    <col min="7435" max="7435" width="19.109375" bestFit="1" customWidth="1"/>
    <col min="7675" max="7675" width="38.33203125" bestFit="1" customWidth="1"/>
    <col min="7676" max="7676" width="6.109375" customWidth="1"/>
    <col min="7677" max="7688" width="9.6640625" customWidth="1"/>
    <col min="7691" max="7691" width="19.109375" bestFit="1" customWidth="1"/>
    <col min="7931" max="7931" width="38.33203125" bestFit="1" customWidth="1"/>
    <col min="7932" max="7932" width="6.109375" customWidth="1"/>
    <col min="7933" max="7944" width="9.6640625" customWidth="1"/>
    <col min="7947" max="7947" width="19.109375" bestFit="1" customWidth="1"/>
    <col min="8187" max="8187" width="38.33203125" bestFit="1" customWidth="1"/>
    <col min="8188" max="8188" width="6.109375" customWidth="1"/>
    <col min="8189" max="8200" width="9.6640625" customWidth="1"/>
    <col min="8203" max="8203" width="19.109375" bestFit="1" customWidth="1"/>
    <col min="8443" max="8443" width="38.33203125" bestFit="1" customWidth="1"/>
    <col min="8444" max="8444" width="6.109375" customWidth="1"/>
    <col min="8445" max="8456" width="9.6640625" customWidth="1"/>
    <col min="8459" max="8459" width="19.109375" bestFit="1" customWidth="1"/>
    <col min="8699" max="8699" width="38.33203125" bestFit="1" customWidth="1"/>
    <col min="8700" max="8700" width="6.109375" customWidth="1"/>
    <col min="8701" max="8712" width="9.6640625" customWidth="1"/>
    <col min="8715" max="8715" width="19.109375" bestFit="1" customWidth="1"/>
    <col min="8955" max="8955" width="38.33203125" bestFit="1" customWidth="1"/>
    <col min="8956" max="8956" width="6.109375" customWidth="1"/>
    <col min="8957" max="8968" width="9.6640625" customWidth="1"/>
    <col min="8971" max="8971" width="19.109375" bestFit="1" customWidth="1"/>
    <col min="9211" max="9211" width="38.33203125" bestFit="1" customWidth="1"/>
    <col min="9212" max="9212" width="6.109375" customWidth="1"/>
    <col min="9213" max="9224" width="9.6640625" customWidth="1"/>
    <col min="9227" max="9227" width="19.109375" bestFit="1" customWidth="1"/>
    <col min="9467" max="9467" width="38.33203125" bestFit="1" customWidth="1"/>
    <col min="9468" max="9468" width="6.109375" customWidth="1"/>
    <col min="9469" max="9480" width="9.6640625" customWidth="1"/>
    <col min="9483" max="9483" width="19.109375" bestFit="1" customWidth="1"/>
    <col min="9723" max="9723" width="38.33203125" bestFit="1" customWidth="1"/>
    <col min="9724" max="9724" width="6.109375" customWidth="1"/>
    <col min="9725" max="9736" width="9.6640625" customWidth="1"/>
    <col min="9739" max="9739" width="19.109375" bestFit="1" customWidth="1"/>
    <col min="9979" max="9979" width="38.33203125" bestFit="1" customWidth="1"/>
    <col min="9980" max="9980" width="6.109375" customWidth="1"/>
    <col min="9981" max="9992" width="9.6640625" customWidth="1"/>
    <col min="9995" max="9995" width="19.109375" bestFit="1" customWidth="1"/>
    <col min="10235" max="10235" width="38.33203125" bestFit="1" customWidth="1"/>
    <col min="10236" max="10236" width="6.109375" customWidth="1"/>
    <col min="10237" max="10248" width="9.6640625" customWidth="1"/>
    <col min="10251" max="10251" width="19.109375" bestFit="1" customWidth="1"/>
    <col min="10491" max="10491" width="38.33203125" bestFit="1" customWidth="1"/>
    <col min="10492" max="10492" width="6.109375" customWidth="1"/>
    <col min="10493" max="10504" width="9.6640625" customWidth="1"/>
    <col min="10507" max="10507" width="19.109375" bestFit="1" customWidth="1"/>
    <col min="10747" max="10747" width="38.33203125" bestFit="1" customWidth="1"/>
    <col min="10748" max="10748" width="6.109375" customWidth="1"/>
    <col min="10749" max="10760" width="9.6640625" customWidth="1"/>
    <col min="10763" max="10763" width="19.109375" bestFit="1" customWidth="1"/>
    <col min="11003" max="11003" width="38.33203125" bestFit="1" customWidth="1"/>
    <col min="11004" max="11004" width="6.109375" customWidth="1"/>
    <col min="11005" max="11016" width="9.6640625" customWidth="1"/>
    <col min="11019" max="11019" width="19.109375" bestFit="1" customWidth="1"/>
    <col min="11259" max="11259" width="38.33203125" bestFit="1" customWidth="1"/>
    <col min="11260" max="11260" width="6.109375" customWidth="1"/>
    <col min="11261" max="11272" width="9.6640625" customWidth="1"/>
    <col min="11275" max="11275" width="19.109375" bestFit="1" customWidth="1"/>
    <col min="11515" max="11515" width="38.33203125" bestFit="1" customWidth="1"/>
    <col min="11516" max="11516" width="6.109375" customWidth="1"/>
    <col min="11517" max="11528" width="9.6640625" customWidth="1"/>
    <col min="11531" max="11531" width="19.109375" bestFit="1" customWidth="1"/>
    <col min="11771" max="11771" width="38.33203125" bestFit="1" customWidth="1"/>
    <col min="11772" max="11772" width="6.109375" customWidth="1"/>
    <col min="11773" max="11784" width="9.6640625" customWidth="1"/>
    <col min="11787" max="11787" width="19.109375" bestFit="1" customWidth="1"/>
    <col min="12027" max="12027" width="38.33203125" bestFit="1" customWidth="1"/>
    <col min="12028" max="12028" width="6.109375" customWidth="1"/>
    <col min="12029" max="12040" width="9.6640625" customWidth="1"/>
    <col min="12043" max="12043" width="19.109375" bestFit="1" customWidth="1"/>
    <col min="12283" max="12283" width="38.33203125" bestFit="1" customWidth="1"/>
    <col min="12284" max="12284" width="6.109375" customWidth="1"/>
    <col min="12285" max="12296" width="9.6640625" customWidth="1"/>
    <col min="12299" max="12299" width="19.109375" bestFit="1" customWidth="1"/>
    <col min="12539" max="12539" width="38.33203125" bestFit="1" customWidth="1"/>
    <col min="12540" max="12540" width="6.109375" customWidth="1"/>
    <col min="12541" max="12552" width="9.6640625" customWidth="1"/>
    <col min="12555" max="12555" width="19.109375" bestFit="1" customWidth="1"/>
    <col min="12795" max="12795" width="38.33203125" bestFit="1" customWidth="1"/>
    <col min="12796" max="12796" width="6.109375" customWidth="1"/>
    <col min="12797" max="12808" width="9.6640625" customWidth="1"/>
    <col min="12811" max="12811" width="19.109375" bestFit="1" customWidth="1"/>
    <col min="13051" max="13051" width="38.33203125" bestFit="1" customWidth="1"/>
    <col min="13052" max="13052" width="6.109375" customWidth="1"/>
    <col min="13053" max="13064" width="9.6640625" customWidth="1"/>
    <col min="13067" max="13067" width="19.109375" bestFit="1" customWidth="1"/>
    <col min="13307" max="13307" width="38.33203125" bestFit="1" customWidth="1"/>
    <col min="13308" max="13308" width="6.109375" customWidth="1"/>
    <col min="13309" max="13320" width="9.6640625" customWidth="1"/>
    <col min="13323" max="13323" width="19.109375" bestFit="1" customWidth="1"/>
    <col min="13563" max="13563" width="38.33203125" bestFit="1" customWidth="1"/>
    <col min="13564" max="13564" width="6.109375" customWidth="1"/>
    <col min="13565" max="13576" width="9.6640625" customWidth="1"/>
    <col min="13579" max="13579" width="19.109375" bestFit="1" customWidth="1"/>
    <col min="13819" max="13819" width="38.33203125" bestFit="1" customWidth="1"/>
    <col min="13820" max="13820" width="6.109375" customWidth="1"/>
    <col min="13821" max="13832" width="9.6640625" customWidth="1"/>
    <col min="13835" max="13835" width="19.109375" bestFit="1" customWidth="1"/>
    <col min="14075" max="14075" width="38.33203125" bestFit="1" customWidth="1"/>
    <col min="14076" max="14076" width="6.109375" customWidth="1"/>
    <col min="14077" max="14088" width="9.6640625" customWidth="1"/>
    <col min="14091" max="14091" width="19.109375" bestFit="1" customWidth="1"/>
    <col min="14331" max="14331" width="38.33203125" bestFit="1" customWidth="1"/>
    <col min="14332" max="14332" width="6.109375" customWidth="1"/>
    <col min="14333" max="14344" width="9.6640625" customWidth="1"/>
    <col min="14347" max="14347" width="19.109375" bestFit="1" customWidth="1"/>
    <col min="14587" max="14587" width="38.33203125" bestFit="1" customWidth="1"/>
    <col min="14588" max="14588" width="6.109375" customWidth="1"/>
    <col min="14589" max="14600" width="9.6640625" customWidth="1"/>
    <col min="14603" max="14603" width="19.109375" bestFit="1" customWidth="1"/>
    <col min="14843" max="14843" width="38.33203125" bestFit="1" customWidth="1"/>
    <col min="14844" max="14844" width="6.109375" customWidth="1"/>
    <col min="14845" max="14856" width="9.6640625" customWidth="1"/>
    <col min="14859" max="14859" width="19.109375" bestFit="1" customWidth="1"/>
    <col min="15099" max="15099" width="38.33203125" bestFit="1" customWidth="1"/>
    <col min="15100" max="15100" width="6.109375" customWidth="1"/>
    <col min="15101" max="15112" width="9.6640625" customWidth="1"/>
    <col min="15115" max="15115" width="19.109375" bestFit="1" customWidth="1"/>
    <col min="15355" max="15355" width="38.33203125" bestFit="1" customWidth="1"/>
    <col min="15356" max="15356" width="6.109375" customWidth="1"/>
    <col min="15357" max="15368" width="9.6640625" customWidth="1"/>
    <col min="15371" max="15371" width="19.109375" bestFit="1" customWidth="1"/>
    <col min="15611" max="15611" width="38.33203125" bestFit="1" customWidth="1"/>
    <col min="15612" max="15612" width="6.109375" customWidth="1"/>
    <col min="15613" max="15624" width="9.6640625" customWidth="1"/>
    <col min="15627" max="15627" width="19.109375" bestFit="1" customWidth="1"/>
    <col min="15867" max="15867" width="38.33203125" bestFit="1" customWidth="1"/>
    <col min="15868" max="15868" width="6.109375" customWidth="1"/>
    <col min="15869" max="15880" width="9.6640625" customWidth="1"/>
    <col min="15883" max="15883" width="19.109375" bestFit="1" customWidth="1"/>
    <col min="16123" max="16123" width="38.33203125" bestFit="1" customWidth="1"/>
    <col min="16124" max="16124" width="6.109375" customWidth="1"/>
    <col min="16125" max="16136" width="9.6640625" customWidth="1"/>
    <col min="16139" max="16139" width="19.109375" bestFit="1" customWidth="1"/>
  </cols>
  <sheetData>
    <row r="1" spans="1:18" ht="15.6" x14ac:dyDescent="0.3">
      <c r="A1" s="347" t="s">
        <v>410</v>
      </c>
      <c r="B1" s="348"/>
      <c r="C1" s="348"/>
      <c r="D1" s="348"/>
      <c r="E1" s="348"/>
      <c r="F1" s="348"/>
      <c r="G1" s="348"/>
    </row>
    <row r="2" spans="1:18" ht="15.6" x14ac:dyDescent="0.3">
      <c r="A2" s="349" t="s">
        <v>411</v>
      </c>
      <c r="B2" s="349"/>
      <c r="C2" s="349"/>
      <c r="D2" s="350"/>
      <c r="E2" s="350"/>
      <c r="F2" s="350"/>
      <c r="G2" s="350"/>
    </row>
    <row r="3" spans="1:18" x14ac:dyDescent="0.3">
      <c r="A3" s="708" t="s">
        <v>412</v>
      </c>
      <c r="B3" s="711" t="s">
        <v>213</v>
      </c>
      <c r="C3" s="711" t="s">
        <v>214</v>
      </c>
      <c r="D3" s="714"/>
      <c r="E3" s="715"/>
      <c r="F3" s="715"/>
      <c r="G3" s="715"/>
      <c r="H3" s="715"/>
      <c r="I3" s="715"/>
      <c r="J3" s="715"/>
      <c r="K3" s="715"/>
      <c r="L3" s="715"/>
      <c r="M3" s="715"/>
      <c r="N3" s="715"/>
      <c r="O3" s="715"/>
      <c r="P3" s="715"/>
      <c r="Q3" s="715"/>
    </row>
    <row r="4" spans="1:18" x14ac:dyDescent="0.3">
      <c r="A4" s="709"/>
      <c r="B4" s="712"/>
      <c r="C4" s="712"/>
      <c r="D4" s="351">
        <v>2023</v>
      </c>
      <c r="E4" s="351">
        <v>2024</v>
      </c>
      <c r="F4" s="351">
        <v>2025</v>
      </c>
      <c r="G4" s="351">
        <v>2026</v>
      </c>
      <c r="H4" s="351">
        <v>2027</v>
      </c>
      <c r="I4" s="351">
        <v>2028</v>
      </c>
      <c r="J4" s="351">
        <v>2029</v>
      </c>
      <c r="K4" s="351">
        <v>2030</v>
      </c>
      <c r="L4" s="351">
        <v>2031</v>
      </c>
      <c r="M4" s="351">
        <v>2032</v>
      </c>
      <c r="N4" s="351">
        <v>2033</v>
      </c>
      <c r="O4" s="351">
        <v>2034</v>
      </c>
      <c r="P4" s="351">
        <v>2035</v>
      </c>
      <c r="Q4" s="351">
        <v>2036</v>
      </c>
      <c r="R4" s="351">
        <v>2037</v>
      </c>
    </row>
    <row r="5" spans="1:18" x14ac:dyDescent="0.3">
      <c r="A5" s="710"/>
      <c r="B5" s="713"/>
      <c r="C5" s="713"/>
      <c r="D5" s="351">
        <v>-1</v>
      </c>
      <c r="E5" s="351">
        <v>1</v>
      </c>
      <c r="F5" s="351">
        <v>2</v>
      </c>
      <c r="G5" s="351">
        <v>3</v>
      </c>
      <c r="H5" s="351">
        <v>4</v>
      </c>
      <c r="I5" s="351">
        <v>5</v>
      </c>
      <c r="J5" s="351">
        <v>6</v>
      </c>
      <c r="K5" s="351">
        <v>7</v>
      </c>
      <c r="L5" s="351">
        <v>8</v>
      </c>
      <c r="M5" s="351">
        <v>9</v>
      </c>
      <c r="N5" s="351">
        <v>10</v>
      </c>
      <c r="O5" s="351">
        <v>11</v>
      </c>
      <c r="P5" s="351">
        <v>12</v>
      </c>
      <c r="Q5" s="351">
        <v>13</v>
      </c>
      <c r="R5" s="351">
        <v>14</v>
      </c>
    </row>
    <row r="6" spans="1:18" x14ac:dyDescent="0.3">
      <c r="A6" s="352" t="s">
        <v>413</v>
      </c>
      <c r="B6" s="353"/>
      <c r="C6" s="353"/>
      <c r="D6" s="354"/>
      <c r="E6" s="354"/>
      <c r="F6" s="354"/>
      <c r="G6" s="354"/>
    </row>
    <row r="7" spans="1:18" x14ac:dyDescent="0.3">
      <c r="A7" s="355" t="s">
        <v>414</v>
      </c>
      <c r="B7" s="356" t="s">
        <v>415</v>
      </c>
      <c r="C7" s="357">
        <f>SUM(D7:R7)</f>
        <v>0</v>
      </c>
      <c r="D7" s="356"/>
      <c r="E7" s="356"/>
      <c r="F7" s="356"/>
      <c r="G7" s="356"/>
      <c r="H7" s="356"/>
      <c r="I7" s="356"/>
      <c r="J7" s="356"/>
      <c r="K7" s="356"/>
      <c r="L7" s="356"/>
      <c r="M7" s="356"/>
      <c r="N7" s="356"/>
      <c r="O7" s="356"/>
      <c r="P7" s="356"/>
      <c r="Q7" s="356"/>
      <c r="R7" s="356"/>
    </row>
    <row r="8" spans="1:18" x14ac:dyDescent="0.3">
      <c r="A8" s="358" t="s">
        <v>416</v>
      </c>
      <c r="B8" s="356" t="s">
        <v>415</v>
      </c>
      <c r="C8" s="359"/>
      <c r="D8" s="359"/>
      <c r="E8" s="360">
        <f t="shared" ref="E8:M8" si="0">D11+E7</f>
        <v>0</v>
      </c>
      <c r="F8" s="360">
        <f t="shared" si="0"/>
        <v>0</v>
      </c>
      <c r="G8" s="360">
        <f t="shared" si="0"/>
        <v>0</v>
      </c>
      <c r="H8" s="360">
        <f t="shared" si="0"/>
        <v>0</v>
      </c>
      <c r="I8" s="360">
        <f t="shared" si="0"/>
        <v>0</v>
      </c>
      <c r="J8" s="360">
        <f t="shared" si="0"/>
        <v>0</v>
      </c>
      <c r="K8" s="360">
        <f t="shared" si="0"/>
        <v>0</v>
      </c>
      <c r="L8" s="360">
        <f t="shared" si="0"/>
        <v>0</v>
      </c>
      <c r="M8" s="360">
        <f t="shared" si="0"/>
        <v>0</v>
      </c>
      <c r="N8" s="360">
        <f>M11+N7</f>
        <v>0</v>
      </c>
      <c r="O8" s="360">
        <f t="shared" ref="O8:R8" si="1">N11+O7</f>
        <v>0</v>
      </c>
      <c r="P8" s="360">
        <f t="shared" si="1"/>
        <v>0</v>
      </c>
      <c r="Q8" s="360">
        <f t="shared" si="1"/>
        <v>0</v>
      </c>
      <c r="R8" s="360">
        <f t="shared" si="1"/>
        <v>0</v>
      </c>
    </row>
    <row r="9" spans="1:18" x14ac:dyDescent="0.3">
      <c r="A9" s="358" t="s">
        <v>417</v>
      </c>
      <c r="B9" s="356" t="s">
        <v>415</v>
      </c>
      <c r="C9" s="361"/>
      <c r="D9" s="361"/>
      <c r="E9" s="361">
        <v>0.25</v>
      </c>
      <c r="F9" s="361">
        <v>0.25</v>
      </c>
      <c r="G9" s="361">
        <v>0.25</v>
      </c>
      <c r="H9" s="361">
        <v>0.25</v>
      </c>
      <c r="I9" s="361">
        <v>0.25</v>
      </c>
      <c r="J9" s="361">
        <v>0.25</v>
      </c>
      <c r="K9" s="361">
        <v>0.25</v>
      </c>
      <c r="L9" s="361">
        <v>0.25</v>
      </c>
      <c r="M9" s="361">
        <v>0.25</v>
      </c>
      <c r="N9" s="361">
        <v>0.25</v>
      </c>
      <c r="O9" s="361">
        <v>0.25</v>
      </c>
      <c r="P9" s="361">
        <v>0.25</v>
      </c>
      <c r="Q9" s="361">
        <v>0.25</v>
      </c>
      <c r="R9" s="361">
        <v>0.25</v>
      </c>
    </row>
    <row r="10" spans="1:18" x14ac:dyDescent="0.3">
      <c r="A10" s="358" t="s">
        <v>418</v>
      </c>
      <c r="B10" s="356" t="s">
        <v>415</v>
      </c>
      <c r="C10" s="357">
        <f>SUM(D10:R10)</f>
        <v>0</v>
      </c>
      <c r="D10" s="359"/>
      <c r="E10" s="360">
        <f t="shared" ref="E10:R10" si="2">E8*E9</f>
        <v>0</v>
      </c>
      <c r="F10" s="360">
        <f t="shared" si="2"/>
        <v>0</v>
      </c>
      <c r="G10" s="360">
        <f t="shared" si="2"/>
        <v>0</v>
      </c>
      <c r="H10" s="360">
        <f t="shared" si="2"/>
        <v>0</v>
      </c>
      <c r="I10" s="360">
        <f t="shared" si="2"/>
        <v>0</v>
      </c>
      <c r="J10" s="360">
        <f t="shared" si="2"/>
        <v>0</v>
      </c>
      <c r="K10" s="360">
        <f t="shared" si="2"/>
        <v>0</v>
      </c>
      <c r="L10" s="360">
        <f t="shared" si="2"/>
        <v>0</v>
      </c>
      <c r="M10" s="360">
        <f t="shared" si="2"/>
        <v>0</v>
      </c>
      <c r="N10" s="360">
        <f t="shared" si="2"/>
        <v>0</v>
      </c>
      <c r="O10" s="360">
        <f t="shared" si="2"/>
        <v>0</v>
      </c>
      <c r="P10" s="360">
        <f t="shared" si="2"/>
        <v>0</v>
      </c>
      <c r="Q10" s="360">
        <f t="shared" si="2"/>
        <v>0</v>
      </c>
      <c r="R10" s="360">
        <f t="shared" si="2"/>
        <v>0</v>
      </c>
    </row>
    <row r="11" spans="1:18" x14ac:dyDescent="0.3">
      <c r="A11" s="358" t="s">
        <v>419</v>
      </c>
      <c r="B11" s="356" t="s">
        <v>415</v>
      </c>
      <c r="C11" s="357"/>
      <c r="D11" s="388"/>
      <c r="E11" s="360">
        <f t="shared" ref="E11:R11" si="3">E8-E10</f>
        <v>0</v>
      </c>
      <c r="F11" s="360">
        <f t="shared" si="3"/>
        <v>0</v>
      </c>
      <c r="G11" s="360">
        <f t="shared" si="3"/>
        <v>0</v>
      </c>
      <c r="H11" s="360">
        <f t="shared" si="3"/>
        <v>0</v>
      </c>
      <c r="I11" s="360">
        <f t="shared" si="3"/>
        <v>0</v>
      </c>
      <c r="J11" s="360">
        <f t="shared" si="3"/>
        <v>0</v>
      </c>
      <c r="K11" s="360">
        <f t="shared" si="3"/>
        <v>0</v>
      </c>
      <c r="L11" s="360">
        <f t="shared" si="3"/>
        <v>0</v>
      </c>
      <c r="M11" s="360">
        <f t="shared" si="3"/>
        <v>0</v>
      </c>
      <c r="N11" s="360">
        <f t="shared" si="3"/>
        <v>0</v>
      </c>
      <c r="O11" s="360">
        <f t="shared" si="3"/>
        <v>0</v>
      </c>
      <c r="P11" s="360">
        <f t="shared" si="3"/>
        <v>0</v>
      </c>
      <c r="Q11" s="360">
        <f t="shared" si="3"/>
        <v>0</v>
      </c>
      <c r="R11" s="360">
        <f t="shared" si="3"/>
        <v>0</v>
      </c>
    </row>
    <row r="12" spans="1:18" x14ac:dyDescent="0.3">
      <c r="A12" s="362" t="s">
        <v>420</v>
      </c>
      <c r="B12" s="356" t="s">
        <v>415</v>
      </c>
      <c r="C12" s="357">
        <f>SUM(D12:R12)</f>
        <v>0</v>
      </c>
      <c r="D12" s="363"/>
      <c r="E12" s="363"/>
      <c r="F12" s="363"/>
      <c r="G12" s="363"/>
      <c r="H12" s="363"/>
      <c r="I12" s="363"/>
      <c r="J12" s="363"/>
      <c r="K12" s="363"/>
      <c r="L12" s="363"/>
      <c r="M12" s="363"/>
      <c r="N12" s="363"/>
      <c r="O12" s="363"/>
      <c r="P12" s="363"/>
      <c r="Q12" s="363"/>
      <c r="R12" s="363"/>
    </row>
    <row r="13" spans="1:18" x14ac:dyDescent="0.3">
      <c r="A13" s="358" t="s">
        <v>416</v>
      </c>
      <c r="B13" s="356" t="s">
        <v>415</v>
      </c>
      <c r="C13" s="359"/>
      <c r="D13" s="359"/>
      <c r="E13" s="360">
        <f t="shared" ref="E13:M13" si="4">D16+E12</f>
        <v>112730.80785410914</v>
      </c>
      <c r="F13" s="360">
        <f t="shared" si="4"/>
        <v>101457.72706869822</v>
      </c>
      <c r="G13" s="360">
        <f t="shared" si="4"/>
        <v>91311.954361828393</v>
      </c>
      <c r="H13" s="360">
        <f t="shared" si="4"/>
        <v>82180.758925645554</v>
      </c>
      <c r="I13" s="360">
        <f t="shared" si="4"/>
        <v>73962.683033081004</v>
      </c>
      <c r="J13" s="360">
        <f t="shared" si="4"/>
        <v>66566.414729772907</v>
      </c>
      <c r="K13" s="360">
        <f t="shared" si="4"/>
        <v>59909.773256795612</v>
      </c>
      <c r="L13" s="360">
        <f t="shared" si="4"/>
        <v>53918.795931116052</v>
      </c>
      <c r="M13" s="360">
        <f t="shared" si="4"/>
        <v>48526.916338004448</v>
      </c>
      <c r="N13" s="360">
        <f>M16+N12</f>
        <v>43674.224704204004</v>
      </c>
      <c r="O13" s="360">
        <f t="shared" ref="O13:R13" si="5">N16+O12</f>
        <v>39306.802233783601</v>
      </c>
      <c r="P13" s="360">
        <f t="shared" si="5"/>
        <v>35376.122010405241</v>
      </c>
      <c r="Q13" s="360">
        <f t="shared" si="5"/>
        <v>31838.509809364718</v>
      </c>
      <c r="R13" s="360">
        <f t="shared" si="5"/>
        <v>28654.658828428244</v>
      </c>
    </row>
    <row r="14" spans="1:18" x14ac:dyDescent="0.3">
      <c r="A14" s="358" t="s">
        <v>417</v>
      </c>
      <c r="B14" s="356" t="s">
        <v>415</v>
      </c>
      <c r="C14" s="361"/>
      <c r="D14" s="361"/>
      <c r="E14" s="361">
        <v>0.1</v>
      </c>
      <c r="F14" s="361">
        <v>0.1</v>
      </c>
      <c r="G14" s="361">
        <v>0.1</v>
      </c>
      <c r="H14" s="361">
        <v>0.1</v>
      </c>
      <c r="I14" s="361">
        <v>0.1</v>
      </c>
      <c r="J14" s="361">
        <v>0.1</v>
      </c>
      <c r="K14" s="361">
        <v>0.1</v>
      </c>
      <c r="L14" s="361">
        <v>0.1</v>
      </c>
      <c r="M14" s="361">
        <v>0.1</v>
      </c>
      <c r="N14" s="361">
        <v>0.1</v>
      </c>
      <c r="O14" s="361">
        <v>0.1</v>
      </c>
      <c r="P14" s="361">
        <v>0.1</v>
      </c>
      <c r="Q14" s="361">
        <v>0.1</v>
      </c>
      <c r="R14" s="361">
        <v>0.1</v>
      </c>
    </row>
    <row r="15" spans="1:18" x14ac:dyDescent="0.3">
      <c r="A15" s="358" t="s">
        <v>418</v>
      </c>
      <c r="B15" s="356" t="s">
        <v>415</v>
      </c>
      <c r="C15" s="357">
        <f>SUM(D15:R15)</f>
        <v>112730.80785410914</v>
      </c>
      <c r="D15" s="359"/>
      <c r="E15" s="360">
        <f t="shared" ref="E15:Q15" si="6">E13*E14</f>
        <v>11273.080785410915</v>
      </c>
      <c r="F15" s="360">
        <f t="shared" si="6"/>
        <v>10145.772706869822</v>
      </c>
      <c r="G15" s="360">
        <f t="shared" si="6"/>
        <v>9131.1954361828393</v>
      </c>
      <c r="H15" s="360">
        <f t="shared" si="6"/>
        <v>8218.075892564555</v>
      </c>
      <c r="I15" s="360">
        <f t="shared" si="6"/>
        <v>7396.2683033081012</v>
      </c>
      <c r="J15" s="360">
        <f t="shared" si="6"/>
        <v>6656.6414729772914</v>
      </c>
      <c r="K15" s="360">
        <f t="shared" si="6"/>
        <v>5990.9773256795615</v>
      </c>
      <c r="L15" s="360">
        <f t="shared" si="6"/>
        <v>5391.8795931116056</v>
      </c>
      <c r="M15" s="360">
        <f t="shared" si="6"/>
        <v>4852.6916338004448</v>
      </c>
      <c r="N15" s="360">
        <f t="shared" si="6"/>
        <v>4367.4224704204007</v>
      </c>
      <c r="O15" s="360">
        <f t="shared" si="6"/>
        <v>3930.6802233783601</v>
      </c>
      <c r="P15" s="360">
        <f t="shared" si="6"/>
        <v>3537.6122010405243</v>
      </c>
      <c r="Q15" s="360">
        <f t="shared" si="6"/>
        <v>3183.8509809364718</v>
      </c>
      <c r="R15" s="360">
        <f>R13</f>
        <v>28654.658828428244</v>
      </c>
    </row>
    <row r="16" spans="1:18" x14ac:dyDescent="0.3">
      <c r="A16" s="358" t="s">
        <v>419</v>
      </c>
      <c r="B16" s="356" t="s">
        <v>415</v>
      </c>
      <c r="C16" s="359"/>
      <c r="D16" s="360">
        <f>ОС!I3</f>
        <v>112730.80785410914</v>
      </c>
      <c r="E16" s="360">
        <f t="shared" ref="E16:R16" si="7">E13-E15</f>
        <v>101457.72706869822</v>
      </c>
      <c r="F16" s="360">
        <f t="shared" si="7"/>
        <v>91311.954361828393</v>
      </c>
      <c r="G16" s="360">
        <f t="shared" si="7"/>
        <v>82180.758925645554</v>
      </c>
      <c r="H16" s="360">
        <f t="shared" si="7"/>
        <v>73962.683033081004</v>
      </c>
      <c r="I16" s="360">
        <f t="shared" si="7"/>
        <v>66566.414729772907</v>
      </c>
      <c r="J16" s="360">
        <f t="shared" si="7"/>
        <v>59909.773256795612</v>
      </c>
      <c r="K16" s="360">
        <f t="shared" si="7"/>
        <v>53918.795931116052</v>
      </c>
      <c r="L16" s="360">
        <f t="shared" si="7"/>
        <v>48526.916338004448</v>
      </c>
      <c r="M16" s="360">
        <f t="shared" si="7"/>
        <v>43674.224704204004</v>
      </c>
      <c r="N16" s="360">
        <f t="shared" si="7"/>
        <v>39306.802233783601</v>
      </c>
      <c r="O16" s="360">
        <f t="shared" si="7"/>
        <v>35376.122010405241</v>
      </c>
      <c r="P16" s="360">
        <f t="shared" si="7"/>
        <v>31838.509809364718</v>
      </c>
      <c r="Q16" s="360">
        <f t="shared" si="7"/>
        <v>28654.658828428244</v>
      </c>
      <c r="R16" s="360">
        <f t="shared" si="7"/>
        <v>0</v>
      </c>
    </row>
    <row r="17" spans="1:18" x14ac:dyDescent="0.3">
      <c r="A17" s="362" t="s">
        <v>431</v>
      </c>
      <c r="B17" s="356" t="s">
        <v>415</v>
      </c>
      <c r="C17" s="357">
        <f>SUM(D17:R17)</f>
        <v>0</v>
      </c>
      <c r="D17" s="363"/>
      <c r="E17" s="357"/>
      <c r="F17" s="357"/>
      <c r="G17" s="357"/>
      <c r="H17" s="357"/>
      <c r="I17" s="357"/>
      <c r="J17" s="357"/>
      <c r="K17" s="357"/>
      <c r="L17" s="357"/>
      <c r="M17" s="357"/>
      <c r="N17" s="357"/>
      <c r="O17" s="357"/>
      <c r="P17" s="357"/>
      <c r="Q17" s="357"/>
      <c r="R17" s="357"/>
    </row>
    <row r="18" spans="1:18" x14ac:dyDescent="0.3">
      <c r="A18" s="358" t="s">
        <v>416</v>
      </c>
      <c r="B18" s="356" t="s">
        <v>415</v>
      </c>
      <c r="C18" s="359"/>
      <c r="D18" s="359"/>
      <c r="E18" s="360">
        <f>D21+E17</f>
        <v>33997.832133399075</v>
      </c>
      <c r="F18" s="360">
        <f t="shared" ref="F18:R18" si="8">E21+F17</f>
        <v>25498.374100049306</v>
      </c>
      <c r="G18" s="360">
        <f t="shared" si="8"/>
        <v>19123.780575036981</v>
      </c>
      <c r="H18" s="360">
        <f t="shared" si="8"/>
        <v>14342.835431277736</v>
      </c>
      <c r="I18" s="360">
        <f t="shared" si="8"/>
        <v>10757.126573458301</v>
      </c>
      <c r="J18" s="360">
        <f t="shared" si="8"/>
        <v>8067.8449300937264</v>
      </c>
      <c r="K18" s="360">
        <f t="shared" si="8"/>
        <v>6050.8836975702943</v>
      </c>
      <c r="L18" s="360">
        <f t="shared" si="8"/>
        <v>4538.1627731777207</v>
      </c>
      <c r="M18" s="360">
        <f t="shared" si="8"/>
        <v>3403.6220798832906</v>
      </c>
      <c r="N18" s="360">
        <f t="shared" si="8"/>
        <v>2552.7165599124678</v>
      </c>
      <c r="O18" s="360">
        <f t="shared" si="8"/>
        <v>1914.537419934351</v>
      </c>
      <c r="P18" s="360">
        <f t="shared" si="8"/>
        <v>1435.9030649507631</v>
      </c>
      <c r="Q18" s="360">
        <f t="shared" si="8"/>
        <v>1076.9272987130723</v>
      </c>
      <c r="R18" s="360">
        <f t="shared" si="8"/>
        <v>807.69547403480419</v>
      </c>
    </row>
    <row r="19" spans="1:18" x14ac:dyDescent="0.3">
      <c r="A19" s="358" t="s">
        <v>417</v>
      </c>
      <c r="B19" s="356" t="s">
        <v>415</v>
      </c>
      <c r="C19" s="361"/>
      <c r="D19" s="361"/>
      <c r="E19" s="361">
        <v>0.25</v>
      </c>
      <c r="F19" s="361">
        <f t="shared" ref="F19:M19" si="9">E19</f>
        <v>0.25</v>
      </c>
      <c r="G19" s="361">
        <f t="shared" si="9"/>
        <v>0.25</v>
      </c>
      <c r="H19" s="361">
        <f t="shared" si="9"/>
        <v>0.25</v>
      </c>
      <c r="I19" s="361">
        <f t="shared" si="9"/>
        <v>0.25</v>
      </c>
      <c r="J19" s="361">
        <f t="shared" si="9"/>
        <v>0.25</v>
      </c>
      <c r="K19" s="361">
        <f t="shared" si="9"/>
        <v>0.25</v>
      </c>
      <c r="L19" s="361">
        <f t="shared" si="9"/>
        <v>0.25</v>
      </c>
      <c r="M19" s="361">
        <f t="shared" si="9"/>
        <v>0.25</v>
      </c>
      <c r="N19" s="361">
        <f>M19</f>
        <v>0.25</v>
      </c>
      <c r="O19" s="361">
        <f t="shared" ref="O19:R19" si="10">N19</f>
        <v>0.25</v>
      </c>
      <c r="P19" s="361">
        <f t="shared" si="10"/>
        <v>0.25</v>
      </c>
      <c r="Q19" s="361">
        <f t="shared" si="10"/>
        <v>0.25</v>
      </c>
      <c r="R19" s="361">
        <f t="shared" si="10"/>
        <v>0.25</v>
      </c>
    </row>
    <row r="20" spans="1:18" x14ac:dyDescent="0.3">
      <c r="A20" s="358" t="s">
        <v>418</v>
      </c>
      <c r="B20" s="356" t="s">
        <v>415</v>
      </c>
      <c r="C20" s="357">
        <f>SUM(D20:R20)</f>
        <v>33997.832133399068</v>
      </c>
      <c r="D20" s="360"/>
      <c r="E20" s="360">
        <f t="shared" ref="E20:Q20" si="11">E18*E19</f>
        <v>8499.4580333497688</v>
      </c>
      <c r="F20" s="360">
        <f t="shared" si="11"/>
        <v>6374.5935250123266</v>
      </c>
      <c r="G20" s="360">
        <f t="shared" si="11"/>
        <v>4780.9451437592452</v>
      </c>
      <c r="H20" s="360">
        <f t="shared" si="11"/>
        <v>3585.7088578194339</v>
      </c>
      <c r="I20" s="360">
        <f t="shared" si="11"/>
        <v>2689.2816433645753</v>
      </c>
      <c r="J20" s="360">
        <f t="shared" si="11"/>
        <v>2016.9612325234316</v>
      </c>
      <c r="K20" s="360">
        <f t="shared" si="11"/>
        <v>1512.7209243925736</v>
      </c>
      <c r="L20" s="360">
        <f t="shared" si="11"/>
        <v>1134.5406932944302</v>
      </c>
      <c r="M20" s="360">
        <f t="shared" si="11"/>
        <v>850.90551997082264</v>
      </c>
      <c r="N20" s="360">
        <f t="shared" si="11"/>
        <v>638.17913997811695</v>
      </c>
      <c r="O20" s="360">
        <f t="shared" si="11"/>
        <v>478.63435498358774</v>
      </c>
      <c r="P20" s="360">
        <f t="shared" si="11"/>
        <v>358.97576623769078</v>
      </c>
      <c r="Q20" s="360">
        <f t="shared" si="11"/>
        <v>269.23182467826808</v>
      </c>
      <c r="R20" s="360">
        <f>R18</f>
        <v>807.69547403480419</v>
      </c>
    </row>
    <row r="21" spans="1:18" x14ac:dyDescent="0.3">
      <c r="A21" s="358" t="s">
        <v>419</v>
      </c>
      <c r="B21" s="356" t="s">
        <v>415</v>
      </c>
      <c r="C21" s="359"/>
      <c r="D21" s="360">
        <f>ОС!I4</f>
        <v>33997.832133399075</v>
      </c>
      <c r="E21" s="360">
        <f t="shared" ref="E21:R21" si="12">E18-E20</f>
        <v>25498.374100049306</v>
      </c>
      <c r="F21" s="360">
        <f t="shared" si="12"/>
        <v>19123.780575036981</v>
      </c>
      <c r="G21" s="360">
        <f t="shared" si="12"/>
        <v>14342.835431277736</v>
      </c>
      <c r="H21" s="360">
        <f t="shared" si="12"/>
        <v>10757.126573458301</v>
      </c>
      <c r="I21" s="360">
        <f t="shared" si="12"/>
        <v>8067.8449300937264</v>
      </c>
      <c r="J21" s="360">
        <f t="shared" si="12"/>
        <v>6050.8836975702943</v>
      </c>
      <c r="K21" s="360">
        <f t="shared" si="12"/>
        <v>4538.1627731777207</v>
      </c>
      <c r="L21" s="360">
        <f t="shared" si="12"/>
        <v>3403.6220798832906</v>
      </c>
      <c r="M21" s="360">
        <f t="shared" si="12"/>
        <v>2552.7165599124678</v>
      </c>
      <c r="N21" s="360">
        <f t="shared" si="12"/>
        <v>1914.537419934351</v>
      </c>
      <c r="O21" s="360">
        <f t="shared" si="12"/>
        <v>1435.9030649507631</v>
      </c>
      <c r="P21" s="360">
        <f t="shared" si="12"/>
        <v>1076.9272987130723</v>
      </c>
      <c r="Q21" s="360">
        <f t="shared" si="12"/>
        <v>807.69547403480419</v>
      </c>
      <c r="R21" s="360">
        <f t="shared" si="12"/>
        <v>0</v>
      </c>
    </row>
    <row r="22" spans="1:18" ht="21.6" x14ac:dyDescent="0.3">
      <c r="A22" s="364" t="s">
        <v>421</v>
      </c>
      <c r="B22" s="356" t="s">
        <v>415</v>
      </c>
      <c r="C22" s="357">
        <f>SUM(D22:R22)</f>
        <v>0</v>
      </c>
      <c r="D22" s="363"/>
      <c r="E22" s="357"/>
      <c r="F22" s="357"/>
      <c r="G22" s="357"/>
      <c r="H22" s="357"/>
      <c r="I22" s="357"/>
      <c r="J22" s="357"/>
      <c r="K22" s="357"/>
      <c r="L22" s="357"/>
      <c r="M22" s="357"/>
      <c r="N22" s="357"/>
      <c r="O22" s="357"/>
      <c r="P22" s="357"/>
      <c r="Q22" s="357"/>
      <c r="R22" s="357"/>
    </row>
    <row r="23" spans="1:18" x14ac:dyDescent="0.3">
      <c r="A23" s="358" t="s">
        <v>416</v>
      </c>
      <c r="B23" s="356" t="s">
        <v>415</v>
      </c>
      <c r="C23" s="359"/>
      <c r="D23" s="359"/>
      <c r="E23" s="360">
        <f t="shared" ref="E23:M23" si="13">D26+E22</f>
        <v>481.24349712908173</v>
      </c>
      <c r="F23" s="360">
        <f t="shared" si="13"/>
        <v>288.74609827744905</v>
      </c>
      <c r="G23" s="360">
        <f t="shared" si="13"/>
        <v>173.24765896646943</v>
      </c>
      <c r="H23" s="360">
        <f t="shared" si="13"/>
        <v>103.94859537988165</v>
      </c>
      <c r="I23" s="360">
        <f t="shared" si="13"/>
        <v>62.369157227928987</v>
      </c>
      <c r="J23" s="360">
        <f t="shared" si="13"/>
        <v>37.421494336757391</v>
      </c>
      <c r="K23" s="360">
        <f t="shared" si="13"/>
        <v>22.452896602054434</v>
      </c>
      <c r="L23" s="360">
        <f t="shared" si="13"/>
        <v>13.471737961232661</v>
      </c>
      <c r="M23" s="360">
        <f t="shared" si="13"/>
        <v>8.083042776739596</v>
      </c>
      <c r="N23" s="360">
        <f>M26+N22</f>
        <v>4.849825666043758</v>
      </c>
      <c r="O23" s="360">
        <f t="shared" ref="O23:R23" si="14">N26+O22</f>
        <v>2.9098953996262544</v>
      </c>
      <c r="P23" s="360">
        <f t="shared" si="14"/>
        <v>1.7459372397757527</v>
      </c>
      <c r="Q23" s="360">
        <f t="shared" si="14"/>
        <v>1.0475623438654516</v>
      </c>
      <c r="R23" s="360">
        <f t="shared" si="14"/>
        <v>0.62853740631927091</v>
      </c>
    </row>
    <row r="24" spans="1:18" x14ac:dyDescent="0.3">
      <c r="A24" s="358" t="s">
        <v>417</v>
      </c>
      <c r="B24" s="356" t="s">
        <v>415</v>
      </c>
      <c r="C24" s="361"/>
      <c r="D24" s="361"/>
      <c r="E24" s="361">
        <v>0.4</v>
      </c>
      <c r="F24" s="361">
        <f t="shared" ref="F24:M24" si="15">E24</f>
        <v>0.4</v>
      </c>
      <c r="G24" s="361">
        <f t="shared" si="15"/>
        <v>0.4</v>
      </c>
      <c r="H24" s="361">
        <f t="shared" si="15"/>
        <v>0.4</v>
      </c>
      <c r="I24" s="361">
        <f t="shared" si="15"/>
        <v>0.4</v>
      </c>
      <c r="J24" s="361">
        <f t="shared" si="15"/>
        <v>0.4</v>
      </c>
      <c r="K24" s="361">
        <f t="shared" si="15"/>
        <v>0.4</v>
      </c>
      <c r="L24" s="361">
        <f t="shared" si="15"/>
        <v>0.4</v>
      </c>
      <c r="M24" s="361">
        <f t="shared" si="15"/>
        <v>0.4</v>
      </c>
      <c r="N24" s="361">
        <f>M24</f>
        <v>0.4</v>
      </c>
      <c r="O24" s="361">
        <f t="shared" ref="O24:R24" si="16">N24</f>
        <v>0.4</v>
      </c>
      <c r="P24" s="361">
        <f t="shared" si="16"/>
        <v>0.4</v>
      </c>
      <c r="Q24" s="361">
        <f t="shared" si="16"/>
        <v>0.4</v>
      </c>
      <c r="R24" s="361">
        <f t="shared" si="16"/>
        <v>0.4</v>
      </c>
    </row>
    <row r="25" spans="1:18" x14ac:dyDescent="0.3">
      <c r="A25" s="358" t="s">
        <v>418</v>
      </c>
      <c r="B25" s="356" t="s">
        <v>415</v>
      </c>
      <c r="C25" s="357">
        <f>SUM(D25:R25)</f>
        <v>481.24349712908173</v>
      </c>
      <c r="D25" s="360"/>
      <c r="E25" s="360">
        <f t="shared" ref="E25:Q25" si="17">E23*E24</f>
        <v>192.49739885163271</v>
      </c>
      <c r="F25" s="360">
        <f t="shared" si="17"/>
        <v>115.49843931097962</v>
      </c>
      <c r="G25" s="360">
        <f t="shared" si="17"/>
        <v>69.299063586587778</v>
      </c>
      <c r="H25" s="360">
        <f t="shared" si="17"/>
        <v>41.579438151952665</v>
      </c>
      <c r="I25" s="360">
        <f t="shared" si="17"/>
        <v>24.947662891171596</v>
      </c>
      <c r="J25" s="360">
        <f t="shared" si="17"/>
        <v>14.968597734702957</v>
      </c>
      <c r="K25" s="360">
        <f t="shared" si="17"/>
        <v>8.9811586408217732</v>
      </c>
      <c r="L25" s="360">
        <f t="shared" si="17"/>
        <v>5.3886951844930646</v>
      </c>
      <c r="M25" s="360">
        <f t="shared" si="17"/>
        <v>3.2332171106958385</v>
      </c>
      <c r="N25" s="360">
        <f t="shared" si="17"/>
        <v>1.9399302664175033</v>
      </c>
      <c r="O25" s="360">
        <f t="shared" si="17"/>
        <v>1.1639581598505018</v>
      </c>
      <c r="P25" s="360">
        <f t="shared" si="17"/>
        <v>0.69837489591030111</v>
      </c>
      <c r="Q25" s="360">
        <f t="shared" si="17"/>
        <v>0.41902493754618064</v>
      </c>
      <c r="R25" s="360">
        <f>R23</f>
        <v>0.62853740631927091</v>
      </c>
    </row>
    <row r="26" spans="1:18" x14ac:dyDescent="0.3">
      <c r="A26" s="358" t="s">
        <v>419</v>
      </c>
      <c r="B26" s="356" t="s">
        <v>415</v>
      </c>
      <c r="C26" s="363"/>
      <c r="D26" s="360">
        <f>ОС!I5</f>
        <v>481.24349712908173</v>
      </c>
      <c r="E26" s="360">
        <f t="shared" ref="E26:R26" si="18">E23-E25</f>
        <v>288.74609827744905</v>
      </c>
      <c r="F26" s="360">
        <f t="shared" si="18"/>
        <v>173.24765896646943</v>
      </c>
      <c r="G26" s="360">
        <f t="shared" si="18"/>
        <v>103.94859537988165</v>
      </c>
      <c r="H26" s="360">
        <f t="shared" si="18"/>
        <v>62.369157227928987</v>
      </c>
      <c r="I26" s="360">
        <f t="shared" si="18"/>
        <v>37.421494336757391</v>
      </c>
      <c r="J26" s="360">
        <f t="shared" si="18"/>
        <v>22.452896602054434</v>
      </c>
      <c r="K26" s="360">
        <f t="shared" si="18"/>
        <v>13.471737961232661</v>
      </c>
      <c r="L26" s="360">
        <f t="shared" si="18"/>
        <v>8.083042776739596</v>
      </c>
      <c r="M26" s="360">
        <f t="shared" si="18"/>
        <v>4.849825666043758</v>
      </c>
      <c r="N26" s="360">
        <f t="shared" si="18"/>
        <v>2.9098953996262544</v>
      </c>
      <c r="O26" s="360">
        <f t="shared" si="18"/>
        <v>1.7459372397757527</v>
      </c>
      <c r="P26" s="360">
        <f t="shared" si="18"/>
        <v>1.0475623438654516</v>
      </c>
      <c r="Q26" s="360">
        <f t="shared" si="18"/>
        <v>0.62853740631927091</v>
      </c>
      <c r="R26" s="360">
        <f t="shared" si="18"/>
        <v>0</v>
      </c>
    </row>
    <row r="27" spans="1:18" ht="21.6" x14ac:dyDescent="0.3">
      <c r="A27" s="362" t="s">
        <v>422</v>
      </c>
      <c r="B27" s="356" t="s">
        <v>415</v>
      </c>
      <c r="C27" s="357">
        <f>SUM(D27:R27)</f>
        <v>0</v>
      </c>
      <c r="D27" s="365"/>
      <c r="E27" s="366"/>
      <c r="F27" s="366"/>
      <c r="G27" s="366"/>
      <c r="H27" s="366"/>
      <c r="I27" s="366"/>
      <c r="J27" s="366"/>
      <c r="K27" s="366"/>
      <c r="L27" s="366"/>
      <c r="M27" s="366"/>
      <c r="N27" s="366"/>
      <c r="O27" s="366"/>
      <c r="P27" s="366"/>
      <c r="Q27" s="366"/>
      <c r="R27" s="366"/>
    </row>
    <row r="28" spans="1:18" x14ac:dyDescent="0.3">
      <c r="A28" s="358" t="s">
        <v>416</v>
      </c>
      <c r="B28" s="356" t="s">
        <v>415</v>
      </c>
      <c r="C28" s="359"/>
      <c r="D28" s="359"/>
      <c r="E28" s="360">
        <f t="shared" ref="E28:M28" si="19">D31+E27</f>
        <v>9477.6638614946296</v>
      </c>
      <c r="F28" s="360">
        <f t="shared" si="19"/>
        <v>8056.0142822704347</v>
      </c>
      <c r="G28" s="360">
        <f t="shared" si="19"/>
        <v>6847.61213992987</v>
      </c>
      <c r="H28" s="360">
        <f t="shared" si="19"/>
        <v>5820.4703189403899</v>
      </c>
      <c r="I28" s="360">
        <f t="shared" si="19"/>
        <v>4947.3997710993317</v>
      </c>
      <c r="J28" s="360">
        <f t="shared" si="19"/>
        <v>4205.2898054344323</v>
      </c>
      <c r="K28" s="360">
        <f t="shared" si="19"/>
        <v>3574.4963346192676</v>
      </c>
      <c r="L28" s="360">
        <f t="shared" si="19"/>
        <v>3038.3218844263774</v>
      </c>
      <c r="M28" s="360">
        <f t="shared" si="19"/>
        <v>2582.5736017624208</v>
      </c>
      <c r="N28" s="360">
        <f>M31+N27</f>
        <v>2195.1875614980577</v>
      </c>
      <c r="O28" s="360">
        <f t="shared" ref="O28:R28" si="20">N31+O27</f>
        <v>1865.9094272733491</v>
      </c>
      <c r="P28" s="360">
        <f t="shared" si="20"/>
        <v>1586.0230131823469</v>
      </c>
      <c r="Q28" s="360">
        <f t="shared" si="20"/>
        <v>1348.1195612049949</v>
      </c>
      <c r="R28" s="360">
        <f t="shared" si="20"/>
        <v>1145.9016270242457</v>
      </c>
    </row>
    <row r="29" spans="1:18" x14ac:dyDescent="0.3">
      <c r="A29" s="358" t="s">
        <v>417</v>
      </c>
      <c r="B29" s="356" t="s">
        <v>415</v>
      </c>
      <c r="C29" s="361"/>
      <c r="D29" s="361"/>
      <c r="E29" s="361">
        <f>[3]Макро!C35</f>
        <v>0.15</v>
      </c>
      <c r="F29" s="361">
        <f t="shared" ref="F29:M29" si="21">E29</f>
        <v>0.15</v>
      </c>
      <c r="G29" s="361">
        <f t="shared" si="21"/>
        <v>0.15</v>
      </c>
      <c r="H29" s="361">
        <f t="shared" si="21"/>
        <v>0.15</v>
      </c>
      <c r="I29" s="361">
        <f t="shared" si="21"/>
        <v>0.15</v>
      </c>
      <c r="J29" s="361">
        <f t="shared" si="21"/>
        <v>0.15</v>
      </c>
      <c r="K29" s="361">
        <f t="shared" si="21"/>
        <v>0.15</v>
      </c>
      <c r="L29" s="361">
        <f t="shared" si="21"/>
        <v>0.15</v>
      </c>
      <c r="M29" s="361">
        <f t="shared" si="21"/>
        <v>0.15</v>
      </c>
      <c r="N29" s="361">
        <f>M29</f>
        <v>0.15</v>
      </c>
      <c r="O29" s="361">
        <f t="shared" ref="O29:R29" si="22">N29</f>
        <v>0.15</v>
      </c>
      <c r="P29" s="361">
        <f t="shared" si="22"/>
        <v>0.15</v>
      </c>
      <c r="Q29" s="361">
        <f t="shared" si="22"/>
        <v>0.15</v>
      </c>
      <c r="R29" s="361">
        <f t="shared" si="22"/>
        <v>0.15</v>
      </c>
    </row>
    <row r="30" spans="1:18" x14ac:dyDescent="0.3">
      <c r="A30" s="358" t="s">
        <v>418</v>
      </c>
      <c r="B30" s="356" t="s">
        <v>415</v>
      </c>
      <c r="C30" s="357">
        <f>SUM(D30:R30)</f>
        <v>9477.6638614946332</v>
      </c>
      <c r="D30" s="360"/>
      <c r="E30" s="360">
        <f t="shared" ref="E30:Q30" si="23">E28*E29</f>
        <v>1421.6495792241944</v>
      </c>
      <c r="F30" s="360">
        <f t="shared" si="23"/>
        <v>1208.4021423405652</v>
      </c>
      <c r="G30" s="360">
        <f t="shared" si="23"/>
        <v>1027.1418209894805</v>
      </c>
      <c r="H30" s="360">
        <f t="shared" si="23"/>
        <v>873.07054784105844</v>
      </c>
      <c r="I30" s="360">
        <f t="shared" si="23"/>
        <v>742.10996566489973</v>
      </c>
      <c r="J30" s="360">
        <f t="shared" si="23"/>
        <v>630.79347081516482</v>
      </c>
      <c r="K30" s="360">
        <f t="shared" si="23"/>
        <v>536.17445019289016</v>
      </c>
      <c r="L30" s="360">
        <f t="shared" si="23"/>
        <v>455.74828266395662</v>
      </c>
      <c r="M30" s="360">
        <f t="shared" si="23"/>
        <v>387.38604026436309</v>
      </c>
      <c r="N30" s="360">
        <f t="shared" si="23"/>
        <v>329.27813422470865</v>
      </c>
      <c r="O30" s="360">
        <f t="shared" si="23"/>
        <v>279.88641409100234</v>
      </c>
      <c r="P30" s="360">
        <f t="shared" si="23"/>
        <v>237.90345197735201</v>
      </c>
      <c r="Q30" s="360">
        <f t="shared" si="23"/>
        <v>202.21793418074921</v>
      </c>
      <c r="R30" s="360">
        <f>R28</f>
        <v>1145.9016270242457</v>
      </c>
    </row>
    <row r="31" spans="1:18" x14ac:dyDescent="0.3">
      <c r="A31" s="358" t="s">
        <v>419</v>
      </c>
      <c r="B31" s="356" t="s">
        <v>415</v>
      </c>
      <c r="C31" s="367"/>
      <c r="D31" s="360">
        <f>ОС!I6</f>
        <v>9477.6638614946296</v>
      </c>
      <c r="E31" s="360">
        <f t="shared" ref="E31:R31" si="24">E28-E30</f>
        <v>8056.0142822704347</v>
      </c>
      <c r="F31" s="360">
        <f t="shared" si="24"/>
        <v>6847.61213992987</v>
      </c>
      <c r="G31" s="360">
        <f t="shared" si="24"/>
        <v>5820.4703189403899</v>
      </c>
      <c r="H31" s="360">
        <f t="shared" si="24"/>
        <v>4947.3997710993317</v>
      </c>
      <c r="I31" s="360">
        <f t="shared" si="24"/>
        <v>4205.2898054344323</v>
      </c>
      <c r="J31" s="360">
        <f t="shared" si="24"/>
        <v>3574.4963346192676</v>
      </c>
      <c r="K31" s="360">
        <f t="shared" si="24"/>
        <v>3038.3218844263774</v>
      </c>
      <c r="L31" s="360">
        <f t="shared" si="24"/>
        <v>2582.5736017624208</v>
      </c>
      <c r="M31" s="360">
        <f t="shared" si="24"/>
        <v>2195.1875614980577</v>
      </c>
      <c r="N31" s="360">
        <f t="shared" si="24"/>
        <v>1865.9094272733491</v>
      </c>
      <c r="O31" s="360">
        <f t="shared" si="24"/>
        <v>1586.0230131823469</v>
      </c>
      <c r="P31" s="360">
        <f t="shared" si="24"/>
        <v>1348.1195612049949</v>
      </c>
      <c r="Q31" s="360">
        <f t="shared" si="24"/>
        <v>1145.9016270242457</v>
      </c>
      <c r="R31" s="360">
        <f t="shared" si="24"/>
        <v>0</v>
      </c>
    </row>
    <row r="32" spans="1:18" hidden="1" x14ac:dyDescent="0.3">
      <c r="A32" s="364" t="s">
        <v>423</v>
      </c>
      <c r="B32" s="356" t="s">
        <v>415</v>
      </c>
      <c r="C32" s="357">
        <f>SUM(D32:Q32)</f>
        <v>0</v>
      </c>
      <c r="D32" s="365"/>
      <c r="E32" s="366"/>
      <c r="F32" s="366"/>
      <c r="G32" s="366"/>
      <c r="H32" s="366"/>
      <c r="I32" s="366"/>
      <c r="J32" s="366"/>
      <c r="K32" s="366"/>
      <c r="L32" s="366"/>
      <c r="M32" s="366"/>
      <c r="N32" s="366"/>
      <c r="O32" s="366"/>
      <c r="P32" s="366"/>
      <c r="Q32" s="366"/>
      <c r="R32" s="366"/>
    </row>
    <row r="33" spans="1:18" hidden="1" x14ac:dyDescent="0.3">
      <c r="A33" s="358" t="s">
        <v>416</v>
      </c>
      <c r="B33" s="356" t="s">
        <v>415</v>
      </c>
      <c r="C33" s="359"/>
      <c r="D33" s="359"/>
      <c r="E33" s="360">
        <f t="shared" ref="E33:M33" si="25">D36+E32</f>
        <v>0</v>
      </c>
      <c r="F33" s="360">
        <f t="shared" si="25"/>
        <v>0</v>
      </c>
      <c r="G33" s="360">
        <f t="shared" si="25"/>
        <v>0</v>
      </c>
      <c r="H33" s="360">
        <f t="shared" si="25"/>
        <v>0</v>
      </c>
      <c r="I33" s="360">
        <f t="shared" si="25"/>
        <v>0</v>
      </c>
      <c r="J33" s="360">
        <f t="shared" si="25"/>
        <v>0</v>
      </c>
      <c r="K33" s="360">
        <f t="shared" si="25"/>
        <v>0</v>
      </c>
      <c r="L33" s="360">
        <f t="shared" si="25"/>
        <v>0</v>
      </c>
      <c r="M33" s="360">
        <f t="shared" si="25"/>
        <v>0</v>
      </c>
      <c r="N33" s="360">
        <f>M36+N32</f>
        <v>0</v>
      </c>
      <c r="O33" s="360">
        <f t="shared" ref="O33:R33" si="26">N36+O32</f>
        <v>0</v>
      </c>
      <c r="P33" s="360">
        <f t="shared" si="26"/>
        <v>0</v>
      </c>
      <c r="Q33" s="360">
        <f t="shared" si="26"/>
        <v>0</v>
      </c>
      <c r="R33" s="360">
        <f t="shared" si="26"/>
        <v>0</v>
      </c>
    </row>
    <row r="34" spans="1:18" hidden="1" x14ac:dyDescent="0.3">
      <c r="A34" s="358" t="s">
        <v>417</v>
      </c>
      <c r="B34" s="356" t="s">
        <v>415</v>
      </c>
      <c r="C34" s="361"/>
      <c r="D34" s="361"/>
      <c r="E34" s="361">
        <v>0.25</v>
      </c>
      <c r="F34" s="361">
        <f t="shared" ref="F34:M34" si="27">E34</f>
        <v>0.25</v>
      </c>
      <c r="G34" s="361">
        <f t="shared" si="27"/>
        <v>0.25</v>
      </c>
      <c r="H34" s="361">
        <f t="shared" si="27"/>
        <v>0.25</v>
      </c>
      <c r="I34" s="361">
        <f t="shared" si="27"/>
        <v>0.25</v>
      </c>
      <c r="J34" s="361">
        <f t="shared" si="27"/>
        <v>0.25</v>
      </c>
      <c r="K34" s="361">
        <f t="shared" si="27"/>
        <v>0.25</v>
      </c>
      <c r="L34" s="361">
        <f t="shared" si="27"/>
        <v>0.25</v>
      </c>
      <c r="M34" s="361">
        <f t="shared" si="27"/>
        <v>0.25</v>
      </c>
      <c r="N34" s="361">
        <f>M34</f>
        <v>0.25</v>
      </c>
      <c r="O34" s="361">
        <f t="shared" ref="O34:R34" si="28">N34</f>
        <v>0.25</v>
      </c>
      <c r="P34" s="361">
        <f t="shared" si="28"/>
        <v>0.25</v>
      </c>
      <c r="Q34" s="361">
        <f t="shared" si="28"/>
        <v>0.25</v>
      </c>
      <c r="R34" s="361">
        <f t="shared" si="28"/>
        <v>0.25</v>
      </c>
    </row>
    <row r="35" spans="1:18" hidden="1" x14ac:dyDescent="0.3">
      <c r="A35" s="358" t="s">
        <v>418</v>
      </c>
      <c r="B35" s="356" t="s">
        <v>415</v>
      </c>
      <c r="C35" s="357">
        <f>SUM(D35:Q35)</f>
        <v>0</v>
      </c>
      <c r="D35" s="359"/>
      <c r="E35" s="360">
        <f t="shared" ref="E35:R35" si="29">E33*E34</f>
        <v>0</v>
      </c>
      <c r="F35" s="360">
        <f t="shared" si="29"/>
        <v>0</v>
      </c>
      <c r="G35" s="360">
        <f t="shared" si="29"/>
        <v>0</v>
      </c>
      <c r="H35" s="360">
        <f t="shared" si="29"/>
        <v>0</v>
      </c>
      <c r="I35" s="360">
        <f t="shared" si="29"/>
        <v>0</v>
      </c>
      <c r="J35" s="360">
        <f t="shared" si="29"/>
        <v>0</v>
      </c>
      <c r="K35" s="360">
        <f t="shared" si="29"/>
        <v>0</v>
      </c>
      <c r="L35" s="360">
        <f t="shared" si="29"/>
        <v>0</v>
      </c>
      <c r="M35" s="360">
        <f t="shared" si="29"/>
        <v>0</v>
      </c>
      <c r="N35" s="360">
        <f t="shared" si="29"/>
        <v>0</v>
      </c>
      <c r="O35" s="360">
        <f t="shared" si="29"/>
        <v>0</v>
      </c>
      <c r="P35" s="360">
        <f t="shared" si="29"/>
        <v>0</v>
      </c>
      <c r="Q35" s="360">
        <f t="shared" si="29"/>
        <v>0</v>
      </c>
      <c r="R35" s="360">
        <f t="shared" si="29"/>
        <v>0</v>
      </c>
    </row>
    <row r="36" spans="1:18" hidden="1" x14ac:dyDescent="0.3">
      <c r="A36" s="358" t="s">
        <v>419</v>
      </c>
      <c r="B36" s="356" t="s">
        <v>415</v>
      </c>
      <c r="C36" s="367"/>
      <c r="D36" s="359"/>
      <c r="E36" s="360">
        <f t="shared" ref="E36:R36" si="30">E33-E35</f>
        <v>0</v>
      </c>
      <c r="F36" s="360">
        <f t="shared" si="30"/>
        <v>0</v>
      </c>
      <c r="G36" s="360">
        <f t="shared" si="30"/>
        <v>0</v>
      </c>
      <c r="H36" s="360">
        <f t="shared" si="30"/>
        <v>0</v>
      </c>
      <c r="I36" s="360">
        <f t="shared" si="30"/>
        <v>0</v>
      </c>
      <c r="J36" s="360">
        <f t="shared" si="30"/>
        <v>0</v>
      </c>
      <c r="K36" s="360">
        <f t="shared" si="30"/>
        <v>0</v>
      </c>
      <c r="L36" s="360">
        <f t="shared" si="30"/>
        <v>0</v>
      </c>
      <c r="M36" s="360">
        <f t="shared" si="30"/>
        <v>0</v>
      </c>
      <c r="N36" s="360">
        <f t="shared" si="30"/>
        <v>0</v>
      </c>
      <c r="O36" s="360">
        <f t="shared" si="30"/>
        <v>0</v>
      </c>
      <c r="P36" s="360">
        <f t="shared" si="30"/>
        <v>0</v>
      </c>
      <c r="Q36" s="360">
        <f t="shared" si="30"/>
        <v>0</v>
      </c>
      <c r="R36" s="360">
        <f t="shared" si="30"/>
        <v>0</v>
      </c>
    </row>
    <row r="37" spans="1:18" x14ac:dyDescent="0.3">
      <c r="A37" s="358"/>
      <c r="B37" s="356"/>
      <c r="C37" s="367"/>
      <c r="D37" s="359"/>
      <c r="E37" s="359"/>
      <c r="F37" s="359"/>
      <c r="G37" s="359"/>
      <c r="H37" s="359"/>
      <c r="I37" s="359"/>
      <c r="J37" s="359"/>
      <c r="K37" s="359"/>
      <c r="L37" s="359"/>
      <c r="M37" s="359"/>
      <c r="N37" s="359"/>
      <c r="O37" s="359"/>
      <c r="P37" s="359"/>
      <c r="Q37" s="359"/>
      <c r="R37" s="359"/>
    </row>
    <row r="38" spans="1:18" x14ac:dyDescent="0.3">
      <c r="A38" s="368" t="s">
        <v>424</v>
      </c>
      <c r="B38" s="356" t="s">
        <v>415</v>
      </c>
      <c r="C38" s="357">
        <f>SUM(D38:R38)</f>
        <v>156687.54734613191</v>
      </c>
      <c r="D38" s="369">
        <f t="shared" ref="D38:R38" si="31">SUM(D10,D15,D20,D25,D30+D35)</f>
        <v>0</v>
      </c>
      <c r="E38" s="370">
        <f t="shared" si="31"/>
        <v>21386.685796836511</v>
      </c>
      <c r="F38" s="370">
        <f t="shared" si="31"/>
        <v>17844.266813533693</v>
      </c>
      <c r="G38" s="370">
        <f t="shared" si="31"/>
        <v>15008.581464518153</v>
      </c>
      <c r="H38" s="370">
        <f t="shared" si="31"/>
        <v>12718.434736376999</v>
      </c>
      <c r="I38" s="370">
        <f t="shared" si="31"/>
        <v>10852.607575228747</v>
      </c>
      <c r="J38" s="370">
        <f t="shared" si="31"/>
        <v>9319.3647740505912</v>
      </c>
      <c r="K38" s="370">
        <f t="shared" si="31"/>
        <v>8048.8538589058462</v>
      </c>
      <c r="L38" s="370">
        <f t="shared" si="31"/>
        <v>6987.5572642544848</v>
      </c>
      <c r="M38" s="370">
        <f t="shared" si="31"/>
        <v>6094.2164111463262</v>
      </c>
      <c r="N38" s="370">
        <f t="shared" si="31"/>
        <v>5336.8196748896444</v>
      </c>
      <c r="O38" s="370">
        <f t="shared" si="31"/>
        <v>4690.3649506128004</v>
      </c>
      <c r="P38" s="370">
        <f t="shared" si="31"/>
        <v>4135.1897941514771</v>
      </c>
      <c r="Q38" s="370">
        <f t="shared" si="31"/>
        <v>3655.7197647330349</v>
      </c>
      <c r="R38" s="370">
        <f t="shared" si="31"/>
        <v>30608.884466893614</v>
      </c>
    </row>
    <row r="39" spans="1:18" x14ac:dyDescent="0.3">
      <c r="A39" s="371"/>
      <c r="B39" s="372"/>
      <c r="C39" s="373"/>
      <c r="D39" s="373"/>
      <c r="E39" s="373"/>
      <c r="F39" s="373"/>
      <c r="G39" s="373"/>
    </row>
    <row r="40" spans="1:18" x14ac:dyDescent="0.3">
      <c r="A40" s="374" t="s">
        <v>425</v>
      </c>
      <c r="B40" s="356" t="s">
        <v>415</v>
      </c>
      <c r="C40" s="373"/>
      <c r="D40" s="389">
        <f t="shared" ref="D40:R40" si="32">SUM(D11,D16,D21,D26,D31,D36)</f>
        <v>156687.54734613193</v>
      </c>
      <c r="E40" s="389">
        <f t="shared" si="32"/>
        <v>135300.8615492954</v>
      </c>
      <c r="F40" s="389">
        <f t="shared" si="32"/>
        <v>117456.59473576171</v>
      </c>
      <c r="G40" s="389">
        <f t="shared" si="32"/>
        <v>102448.01327124357</v>
      </c>
      <c r="H40" s="389">
        <f t="shared" si="32"/>
        <v>89729.578534866567</v>
      </c>
      <c r="I40" s="389">
        <f t="shared" si="32"/>
        <v>78876.970959637809</v>
      </c>
      <c r="J40" s="389">
        <f t="shared" si="32"/>
        <v>69557.606185587225</v>
      </c>
      <c r="K40" s="389">
        <f t="shared" si="32"/>
        <v>61508.752326681381</v>
      </c>
      <c r="L40" s="389">
        <f t="shared" si="32"/>
        <v>54521.195062426894</v>
      </c>
      <c r="M40" s="389">
        <f t="shared" si="32"/>
        <v>48426.97865128058</v>
      </c>
      <c r="N40" s="389">
        <f t="shared" si="32"/>
        <v>43090.158976390929</v>
      </c>
      <c r="O40" s="389">
        <f t="shared" si="32"/>
        <v>38399.79402577813</v>
      </c>
      <c r="P40" s="389">
        <f t="shared" si="32"/>
        <v>34264.604231626654</v>
      </c>
      <c r="Q40" s="389">
        <f t="shared" si="32"/>
        <v>30608.884466893614</v>
      </c>
      <c r="R40" s="389">
        <f t="shared" si="32"/>
        <v>0</v>
      </c>
    </row>
    <row r="41" spans="1:18" ht="17.399999999999999" x14ac:dyDescent="0.3">
      <c r="A41" s="375"/>
      <c r="B41" s="376"/>
      <c r="C41" s="377"/>
      <c r="D41" s="377"/>
      <c r="E41" s="377"/>
      <c r="F41" s="377"/>
      <c r="G41" s="377"/>
      <c r="H41" s="378"/>
      <c r="I41" s="378"/>
      <c r="J41" s="378"/>
      <c r="K41" s="378"/>
      <c r="L41" s="378"/>
      <c r="M41" s="378"/>
      <c r="N41" s="378"/>
      <c r="O41" s="378"/>
      <c r="P41" s="378"/>
      <c r="Q41" s="378"/>
      <c r="R41" s="378"/>
    </row>
    <row r="42" spans="1:18" ht="21.6" x14ac:dyDescent="0.3">
      <c r="A42" s="355" t="s">
        <v>426</v>
      </c>
      <c r="B42" s="379"/>
      <c r="C42" s="363">
        <f>C15</f>
        <v>112730.80785410914</v>
      </c>
      <c r="D42" s="363"/>
      <c r="E42" s="363"/>
      <c r="F42" s="363"/>
      <c r="G42" s="363"/>
      <c r="H42" s="363"/>
      <c r="I42" s="363"/>
      <c r="J42" s="363"/>
      <c r="K42" s="363"/>
      <c r="L42" s="363"/>
      <c r="M42" s="363"/>
      <c r="N42" s="363"/>
      <c r="O42" s="363"/>
      <c r="P42" s="363"/>
      <c r="Q42" s="363"/>
      <c r="R42" s="363"/>
    </row>
    <row r="43" spans="1:18" ht="21.6" x14ac:dyDescent="0.3">
      <c r="A43" s="380" t="s">
        <v>427</v>
      </c>
      <c r="B43" s="381"/>
      <c r="C43" s="359"/>
      <c r="D43" s="359"/>
      <c r="E43" s="359"/>
      <c r="F43" s="359"/>
      <c r="G43" s="359"/>
      <c r="H43" s="359"/>
      <c r="I43" s="359"/>
      <c r="J43" s="359"/>
      <c r="K43" s="359"/>
      <c r="L43" s="359"/>
      <c r="M43" s="359"/>
      <c r="N43" s="359"/>
      <c r="O43" s="359"/>
      <c r="P43" s="359"/>
      <c r="Q43" s="359"/>
      <c r="R43" s="359"/>
    </row>
    <row r="44" spans="1:18" x14ac:dyDescent="0.3">
      <c r="A44" s="382">
        <v>40544</v>
      </c>
      <c r="B44" s="381"/>
      <c r="C44" s="363"/>
      <c r="D44" s="363"/>
      <c r="E44" s="363">
        <f t="shared" ref="E44:R44" si="33">E13</f>
        <v>112730.80785410914</v>
      </c>
      <c r="F44" s="363">
        <f t="shared" si="33"/>
        <v>101457.72706869822</v>
      </c>
      <c r="G44" s="363">
        <f t="shared" si="33"/>
        <v>91311.954361828393</v>
      </c>
      <c r="H44" s="363">
        <f t="shared" si="33"/>
        <v>82180.758925645554</v>
      </c>
      <c r="I44" s="363">
        <f t="shared" si="33"/>
        <v>73962.683033081004</v>
      </c>
      <c r="J44" s="363">
        <f t="shared" si="33"/>
        <v>66566.414729772907</v>
      </c>
      <c r="K44" s="363">
        <f t="shared" si="33"/>
        <v>59909.773256795612</v>
      </c>
      <c r="L44" s="363">
        <f t="shared" si="33"/>
        <v>53918.795931116052</v>
      </c>
      <c r="M44" s="363">
        <f t="shared" si="33"/>
        <v>48526.916338004448</v>
      </c>
      <c r="N44" s="363">
        <f t="shared" si="33"/>
        <v>43674.224704204004</v>
      </c>
      <c r="O44" s="363">
        <f t="shared" si="33"/>
        <v>39306.802233783601</v>
      </c>
      <c r="P44" s="363">
        <f t="shared" si="33"/>
        <v>35376.122010405241</v>
      </c>
      <c r="Q44" s="363">
        <f t="shared" si="33"/>
        <v>31838.509809364718</v>
      </c>
      <c r="R44" s="363">
        <f t="shared" si="33"/>
        <v>28654.658828428244</v>
      </c>
    </row>
    <row r="45" spans="1:18" x14ac:dyDescent="0.3">
      <c r="A45" s="382">
        <v>40575</v>
      </c>
      <c r="B45" s="381"/>
      <c r="C45" s="359"/>
      <c r="D45" s="359"/>
      <c r="E45" s="359">
        <f t="shared" ref="E45:R45" si="34">E44-E44*10%/12</f>
        <v>111791.38445532489</v>
      </c>
      <c r="F45" s="359">
        <f t="shared" si="34"/>
        <v>100612.2460097924</v>
      </c>
      <c r="G45" s="359">
        <f t="shared" si="34"/>
        <v>90551.021408813162</v>
      </c>
      <c r="H45" s="359">
        <f t="shared" si="34"/>
        <v>81495.919267931837</v>
      </c>
      <c r="I45" s="359">
        <f t="shared" si="34"/>
        <v>73346.327341138662</v>
      </c>
      <c r="J45" s="359">
        <f t="shared" si="34"/>
        <v>66011.694607024794</v>
      </c>
      <c r="K45" s="359">
        <f t="shared" si="34"/>
        <v>59410.525146322318</v>
      </c>
      <c r="L45" s="359">
        <f t="shared" si="34"/>
        <v>53469.472631690085</v>
      </c>
      <c r="M45" s="359">
        <f t="shared" si="34"/>
        <v>48122.525368521077</v>
      </c>
      <c r="N45" s="359">
        <f t="shared" si="34"/>
        <v>43310.272831668968</v>
      </c>
      <c r="O45" s="359">
        <f t="shared" si="34"/>
        <v>38979.245548502069</v>
      </c>
      <c r="P45" s="359">
        <f t="shared" si="34"/>
        <v>35081.320993651861</v>
      </c>
      <c r="Q45" s="359">
        <f t="shared" si="34"/>
        <v>31573.188894286679</v>
      </c>
      <c r="R45" s="359">
        <f t="shared" si="34"/>
        <v>28415.87000485801</v>
      </c>
    </row>
    <row r="46" spans="1:18" x14ac:dyDescent="0.3">
      <c r="A46" s="382">
        <v>40603</v>
      </c>
      <c r="B46" s="381"/>
      <c r="C46" s="359"/>
      <c r="D46" s="359"/>
      <c r="E46" s="359">
        <f t="shared" ref="E46:R46" si="35">E45-E44*10%/12</f>
        <v>110851.96105654065</v>
      </c>
      <c r="F46" s="359">
        <f t="shared" si="35"/>
        <v>99766.764950886587</v>
      </c>
      <c r="G46" s="359">
        <f t="shared" si="35"/>
        <v>89790.08845579793</v>
      </c>
      <c r="H46" s="359">
        <f t="shared" si="35"/>
        <v>80811.079610218119</v>
      </c>
      <c r="I46" s="359">
        <f t="shared" si="35"/>
        <v>72729.971649196319</v>
      </c>
      <c r="J46" s="359">
        <f t="shared" si="35"/>
        <v>65456.974484276689</v>
      </c>
      <c r="K46" s="359">
        <f t="shared" si="35"/>
        <v>58911.277035849023</v>
      </c>
      <c r="L46" s="359">
        <f t="shared" si="35"/>
        <v>53020.149332264118</v>
      </c>
      <c r="M46" s="359">
        <f t="shared" si="35"/>
        <v>47718.134399037706</v>
      </c>
      <c r="N46" s="359">
        <f t="shared" si="35"/>
        <v>42946.320959133933</v>
      </c>
      <c r="O46" s="359">
        <f t="shared" si="35"/>
        <v>38651.688863220537</v>
      </c>
      <c r="P46" s="359">
        <f t="shared" si="35"/>
        <v>34786.519976898482</v>
      </c>
      <c r="Q46" s="359">
        <f t="shared" si="35"/>
        <v>31307.86797920864</v>
      </c>
      <c r="R46" s="359">
        <f t="shared" si="35"/>
        <v>28177.081181287776</v>
      </c>
    </row>
    <row r="47" spans="1:18" x14ac:dyDescent="0.3">
      <c r="A47" s="382">
        <v>40634</v>
      </c>
      <c r="B47" s="381"/>
      <c r="C47" s="359"/>
      <c r="D47" s="359"/>
      <c r="E47" s="359">
        <f t="shared" ref="E47:R47" si="36">E46-E44*10%/12</f>
        <v>109912.5376577564</v>
      </c>
      <c r="F47" s="359">
        <f t="shared" si="36"/>
        <v>98921.283891980769</v>
      </c>
      <c r="G47" s="359">
        <f t="shared" si="36"/>
        <v>89029.155502782698</v>
      </c>
      <c r="H47" s="359">
        <f t="shared" si="36"/>
        <v>80126.239952504402</v>
      </c>
      <c r="I47" s="359">
        <f t="shared" si="36"/>
        <v>72113.615957253976</v>
      </c>
      <c r="J47" s="359">
        <f t="shared" si="36"/>
        <v>64902.254361528583</v>
      </c>
      <c r="K47" s="359">
        <f t="shared" si="36"/>
        <v>58412.028925375729</v>
      </c>
      <c r="L47" s="359">
        <f t="shared" si="36"/>
        <v>52570.826032838151</v>
      </c>
      <c r="M47" s="359">
        <f t="shared" si="36"/>
        <v>47313.743429554335</v>
      </c>
      <c r="N47" s="359">
        <f t="shared" si="36"/>
        <v>42582.369086598897</v>
      </c>
      <c r="O47" s="359">
        <f t="shared" si="36"/>
        <v>38324.132177939005</v>
      </c>
      <c r="P47" s="359">
        <f t="shared" si="36"/>
        <v>34491.718960145103</v>
      </c>
      <c r="Q47" s="359">
        <f t="shared" si="36"/>
        <v>31042.547064130602</v>
      </c>
      <c r="R47" s="359">
        <f t="shared" si="36"/>
        <v>27938.292357717542</v>
      </c>
    </row>
    <row r="48" spans="1:18" x14ac:dyDescent="0.3">
      <c r="A48" s="382">
        <v>40664</v>
      </c>
      <c r="B48" s="381"/>
      <c r="C48" s="359"/>
      <c r="D48" s="359"/>
      <c r="E48" s="359">
        <f t="shared" ref="E48:R48" si="37">E47-E44*10%/12</f>
        <v>108973.11425897216</v>
      </c>
      <c r="F48" s="359">
        <f t="shared" si="37"/>
        <v>98075.802833074951</v>
      </c>
      <c r="G48" s="359">
        <f t="shared" si="37"/>
        <v>88268.222549767466</v>
      </c>
      <c r="H48" s="359">
        <f t="shared" si="37"/>
        <v>79441.400294790685</v>
      </c>
      <c r="I48" s="359">
        <f t="shared" si="37"/>
        <v>71497.260265311634</v>
      </c>
      <c r="J48" s="359">
        <f t="shared" si="37"/>
        <v>64347.534238780478</v>
      </c>
      <c r="K48" s="359">
        <f t="shared" si="37"/>
        <v>57912.780814902435</v>
      </c>
      <c r="L48" s="359">
        <f t="shared" si="37"/>
        <v>52121.502733412184</v>
      </c>
      <c r="M48" s="359">
        <f t="shared" si="37"/>
        <v>46909.352460070964</v>
      </c>
      <c r="N48" s="359">
        <f t="shared" si="37"/>
        <v>42218.417214063862</v>
      </c>
      <c r="O48" s="359">
        <f t="shared" si="37"/>
        <v>37996.575492657474</v>
      </c>
      <c r="P48" s="359">
        <f t="shared" si="37"/>
        <v>34196.917943391723</v>
      </c>
      <c r="Q48" s="359">
        <f t="shared" si="37"/>
        <v>30777.226149052563</v>
      </c>
      <c r="R48" s="359">
        <f t="shared" si="37"/>
        <v>27699.503534147309</v>
      </c>
    </row>
    <row r="49" spans="1:18" x14ac:dyDescent="0.3">
      <c r="A49" s="382">
        <v>40695</v>
      </c>
      <c r="B49" s="381"/>
      <c r="C49" s="359"/>
      <c r="D49" s="359"/>
      <c r="E49" s="359">
        <f t="shared" ref="E49:R49" si="38">E48-E44*10%/12</f>
        <v>108033.69086018791</v>
      </c>
      <c r="F49" s="359">
        <f t="shared" si="38"/>
        <v>97230.321774169133</v>
      </c>
      <c r="G49" s="359">
        <f t="shared" si="38"/>
        <v>87507.289596752235</v>
      </c>
      <c r="H49" s="359">
        <f t="shared" si="38"/>
        <v>78756.560637076967</v>
      </c>
      <c r="I49" s="359">
        <f t="shared" si="38"/>
        <v>70880.904573369291</v>
      </c>
      <c r="J49" s="359">
        <f t="shared" si="38"/>
        <v>63792.814116032372</v>
      </c>
      <c r="K49" s="359">
        <f t="shared" si="38"/>
        <v>57413.532704429141</v>
      </c>
      <c r="L49" s="359">
        <f t="shared" si="38"/>
        <v>51672.179433986217</v>
      </c>
      <c r="M49" s="359">
        <f t="shared" si="38"/>
        <v>46504.961490587593</v>
      </c>
      <c r="N49" s="359">
        <f t="shared" si="38"/>
        <v>41854.465341528827</v>
      </c>
      <c r="O49" s="359">
        <f t="shared" si="38"/>
        <v>37669.018807375942</v>
      </c>
      <c r="P49" s="359">
        <f t="shared" si="38"/>
        <v>33902.116926638344</v>
      </c>
      <c r="Q49" s="359">
        <f t="shared" si="38"/>
        <v>30511.905233974525</v>
      </c>
      <c r="R49" s="359">
        <f t="shared" si="38"/>
        <v>27460.714710577075</v>
      </c>
    </row>
    <row r="50" spans="1:18" x14ac:dyDescent="0.3">
      <c r="A50" s="382">
        <v>40725</v>
      </c>
      <c r="B50" s="381"/>
      <c r="C50" s="359"/>
      <c r="D50" s="359"/>
      <c r="E50" s="359">
        <f t="shared" ref="E50:R50" si="39">E49-E44*10%/12</f>
        <v>107094.26746140367</v>
      </c>
      <c r="F50" s="359">
        <f t="shared" si="39"/>
        <v>96384.840715263315</v>
      </c>
      <c r="G50" s="359">
        <f t="shared" si="39"/>
        <v>86746.356643737003</v>
      </c>
      <c r="H50" s="359">
        <f t="shared" si="39"/>
        <v>78071.72097936325</v>
      </c>
      <c r="I50" s="359">
        <f t="shared" si="39"/>
        <v>70264.548881426948</v>
      </c>
      <c r="J50" s="359">
        <f t="shared" si="39"/>
        <v>63238.093993284267</v>
      </c>
      <c r="K50" s="359">
        <f t="shared" si="39"/>
        <v>56914.284593955847</v>
      </c>
      <c r="L50" s="359">
        <f t="shared" si="39"/>
        <v>51222.85613456025</v>
      </c>
      <c r="M50" s="359">
        <f t="shared" si="39"/>
        <v>46100.570521104222</v>
      </c>
      <c r="N50" s="359">
        <f t="shared" si="39"/>
        <v>41490.513468993791</v>
      </c>
      <c r="O50" s="359">
        <f t="shared" si="39"/>
        <v>37341.46212209441</v>
      </c>
      <c r="P50" s="359">
        <f t="shared" si="39"/>
        <v>33607.315909884965</v>
      </c>
      <c r="Q50" s="359">
        <f t="shared" si="39"/>
        <v>30246.584318896486</v>
      </c>
      <c r="R50" s="359">
        <f t="shared" si="39"/>
        <v>27221.925887006841</v>
      </c>
    </row>
    <row r="51" spans="1:18" x14ac:dyDescent="0.3">
      <c r="A51" s="382">
        <v>40756</v>
      </c>
      <c r="B51" s="381"/>
      <c r="C51" s="359"/>
      <c r="D51" s="359"/>
      <c r="E51" s="359">
        <f t="shared" ref="E51:R51" si="40">E50-E44*10%/12</f>
        <v>106154.84406261942</v>
      </c>
      <c r="F51" s="359">
        <f t="shared" si="40"/>
        <v>95539.359656357497</v>
      </c>
      <c r="G51" s="359">
        <f t="shared" si="40"/>
        <v>85985.423690721771</v>
      </c>
      <c r="H51" s="359">
        <f t="shared" si="40"/>
        <v>77386.881321649533</v>
      </c>
      <c r="I51" s="359">
        <f t="shared" si="40"/>
        <v>69648.193189484606</v>
      </c>
      <c r="J51" s="359">
        <f t="shared" si="40"/>
        <v>62683.373870536161</v>
      </c>
      <c r="K51" s="359">
        <f t="shared" si="40"/>
        <v>56415.036483482552</v>
      </c>
      <c r="L51" s="359">
        <f t="shared" si="40"/>
        <v>50773.532835134283</v>
      </c>
      <c r="M51" s="359">
        <f t="shared" si="40"/>
        <v>45696.179551620851</v>
      </c>
      <c r="N51" s="359">
        <f t="shared" si="40"/>
        <v>41126.561596458756</v>
      </c>
      <c r="O51" s="359">
        <f t="shared" si="40"/>
        <v>37013.905436812878</v>
      </c>
      <c r="P51" s="359">
        <f t="shared" si="40"/>
        <v>33312.514893131585</v>
      </c>
      <c r="Q51" s="359">
        <f t="shared" si="40"/>
        <v>29981.263403818448</v>
      </c>
      <c r="R51" s="359">
        <f t="shared" si="40"/>
        <v>26983.137063436607</v>
      </c>
    </row>
    <row r="52" spans="1:18" x14ac:dyDescent="0.3">
      <c r="A52" s="382">
        <v>40787</v>
      </c>
      <c r="B52" s="381"/>
      <c r="C52" s="359"/>
      <c r="D52" s="359"/>
      <c r="E52" s="359">
        <f t="shared" ref="E52:R52" si="41">E51-E44*10%/12</f>
        <v>105215.42066383518</v>
      </c>
      <c r="F52" s="359">
        <f t="shared" si="41"/>
        <v>94693.87859745168</v>
      </c>
      <c r="G52" s="359">
        <f t="shared" si="41"/>
        <v>85224.490737706539</v>
      </c>
      <c r="H52" s="359">
        <f t="shared" si="41"/>
        <v>76702.041663935815</v>
      </c>
      <c r="I52" s="359">
        <f t="shared" si="41"/>
        <v>69031.837497542263</v>
      </c>
      <c r="J52" s="359">
        <f t="shared" si="41"/>
        <v>62128.653747788056</v>
      </c>
      <c r="K52" s="359">
        <f t="shared" si="41"/>
        <v>55915.788373009258</v>
      </c>
      <c r="L52" s="359">
        <f t="shared" si="41"/>
        <v>50324.209535708316</v>
      </c>
      <c r="M52" s="359">
        <f t="shared" si="41"/>
        <v>45291.78858213748</v>
      </c>
      <c r="N52" s="359">
        <f t="shared" si="41"/>
        <v>40762.609723923721</v>
      </c>
      <c r="O52" s="359">
        <f t="shared" si="41"/>
        <v>36686.348751531346</v>
      </c>
      <c r="P52" s="359">
        <f t="shared" si="41"/>
        <v>33017.713876378206</v>
      </c>
      <c r="Q52" s="359">
        <f t="shared" si="41"/>
        <v>29715.942488740409</v>
      </c>
      <c r="R52" s="359">
        <f t="shared" si="41"/>
        <v>26744.348239866373</v>
      </c>
    </row>
    <row r="53" spans="1:18" x14ac:dyDescent="0.3">
      <c r="A53" s="382">
        <v>40817</v>
      </c>
      <c r="B53" s="381"/>
      <c r="C53" s="359"/>
      <c r="D53" s="359"/>
      <c r="E53" s="359">
        <f t="shared" ref="E53:R53" si="42">E52-E44*10%/12</f>
        <v>104275.99726505093</v>
      </c>
      <c r="F53" s="359">
        <f t="shared" si="42"/>
        <v>93848.397538545862</v>
      </c>
      <c r="G53" s="359">
        <f t="shared" si="42"/>
        <v>84463.557784691307</v>
      </c>
      <c r="H53" s="359">
        <f t="shared" si="42"/>
        <v>76017.202006222098</v>
      </c>
      <c r="I53" s="359">
        <f t="shared" si="42"/>
        <v>68415.48180559992</v>
      </c>
      <c r="J53" s="359">
        <f t="shared" si="42"/>
        <v>61573.93362503995</v>
      </c>
      <c r="K53" s="359">
        <f t="shared" si="42"/>
        <v>55416.540262535964</v>
      </c>
      <c r="L53" s="359">
        <f t="shared" si="42"/>
        <v>49874.886236282349</v>
      </c>
      <c r="M53" s="359">
        <f t="shared" si="42"/>
        <v>44887.397612654109</v>
      </c>
      <c r="N53" s="359">
        <f t="shared" si="42"/>
        <v>40398.657851388685</v>
      </c>
      <c r="O53" s="359">
        <f t="shared" si="42"/>
        <v>36358.792066249815</v>
      </c>
      <c r="P53" s="359">
        <f t="shared" si="42"/>
        <v>32722.91285962483</v>
      </c>
      <c r="Q53" s="359">
        <f t="shared" si="42"/>
        <v>29450.621573662371</v>
      </c>
      <c r="R53" s="359">
        <f t="shared" si="42"/>
        <v>26505.559416296139</v>
      </c>
    </row>
    <row r="54" spans="1:18" x14ac:dyDescent="0.3">
      <c r="A54" s="382">
        <v>40848</v>
      </c>
      <c r="B54" s="381"/>
      <c r="C54" s="359"/>
      <c r="D54" s="359"/>
      <c r="E54" s="359">
        <f t="shared" ref="E54:R54" si="43">E53-E44*10%/12</f>
        <v>103336.57386626668</v>
      </c>
      <c r="F54" s="359">
        <f t="shared" si="43"/>
        <v>93002.916479640044</v>
      </c>
      <c r="G54" s="359">
        <f t="shared" si="43"/>
        <v>83702.624831676076</v>
      </c>
      <c r="H54" s="359">
        <f t="shared" si="43"/>
        <v>75332.362348508381</v>
      </c>
      <c r="I54" s="359">
        <f t="shared" si="43"/>
        <v>67799.126113657578</v>
      </c>
      <c r="J54" s="359">
        <f t="shared" si="43"/>
        <v>61019.213502291845</v>
      </c>
      <c r="K54" s="359">
        <f t="shared" si="43"/>
        <v>54917.29215206267</v>
      </c>
      <c r="L54" s="359">
        <f t="shared" si="43"/>
        <v>49425.562936856382</v>
      </c>
      <c r="M54" s="359">
        <f t="shared" si="43"/>
        <v>44483.006643170738</v>
      </c>
      <c r="N54" s="359">
        <f t="shared" si="43"/>
        <v>40034.70597885365</v>
      </c>
      <c r="O54" s="359">
        <f t="shared" si="43"/>
        <v>36031.235380968283</v>
      </c>
      <c r="P54" s="359">
        <f t="shared" si="43"/>
        <v>32428.111842871454</v>
      </c>
      <c r="Q54" s="359">
        <f t="shared" si="43"/>
        <v>29185.300658584332</v>
      </c>
      <c r="R54" s="359">
        <f t="shared" si="43"/>
        <v>26266.770592725905</v>
      </c>
    </row>
    <row r="55" spans="1:18" x14ac:dyDescent="0.3">
      <c r="A55" s="382">
        <v>40878</v>
      </c>
      <c r="B55" s="381"/>
      <c r="C55" s="359"/>
      <c r="D55" s="359"/>
      <c r="E55" s="359">
        <f t="shared" ref="E55:R55" si="44">E54-E44*10%/12</f>
        <v>102397.15046748244</v>
      </c>
      <c r="F55" s="359">
        <f t="shared" si="44"/>
        <v>92157.435420734226</v>
      </c>
      <c r="G55" s="359">
        <f t="shared" si="44"/>
        <v>82941.691878660844</v>
      </c>
      <c r="H55" s="359">
        <f t="shared" si="44"/>
        <v>74647.522690794664</v>
      </c>
      <c r="I55" s="359">
        <f t="shared" si="44"/>
        <v>67182.770421715235</v>
      </c>
      <c r="J55" s="359">
        <f t="shared" si="44"/>
        <v>60464.493379543739</v>
      </c>
      <c r="K55" s="359">
        <f t="shared" si="44"/>
        <v>54418.044041589375</v>
      </c>
      <c r="L55" s="359">
        <f t="shared" si="44"/>
        <v>48976.239637430415</v>
      </c>
      <c r="M55" s="359">
        <f t="shared" si="44"/>
        <v>44078.615673687367</v>
      </c>
      <c r="N55" s="359">
        <f t="shared" si="44"/>
        <v>39670.754106318615</v>
      </c>
      <c r="O55" s="359">
        <f t="shared" si="44"/>
        <v>35703.678695686751</v>
      </c>
      <c r="P55" s="359">
        <f t="shared" si="44"/>
        <v>32133.310826118079</v>
      </c>
      <c r="Q55" s="359">
        <f t="shared" si="44"/>
        <v>28919.979743506294</v>
      </c>
      <c r="R55" s="359">
        <f t="shared" si="44"/>
        <v>26027.981769155671</v>
      </c>
    </row>
    <row r="56" spans="1:18" x14ac:dyDescent="0.3">
      <c r="A56" s="382">
        <v>40909</v>
      </c>
      <c r="B56" s="381"/>
      <c r="C56" s="359"/>
      <c r="D56" s="359"/>
      <c r="E56" s="359">
        <f t="shared" ref="E56:R56" si="45">E55-E44*10%/12</f>
        <v>101457.72706869819</v>
      </c>
      <c r="F56" s="359">
        <f t="shared" si="45"/>
        <v>91311.954361828408</v>
      </c>
      <c r="G56" s="359">
        <f t="shared" si="45"/>
        <v>82180.758925645612</v>
      </c>
      <c r="H56" s="359">
        <f t="shared" si="45"/>
        <v>73962.683033080946</v>
      </c>
      <c r="I56" s="359">
        <f t="shared" si="45"/>
        <v>66566.414729772892</v>
      </c>
      <c r="J56" s="359">
        <f t="shared" si="45"/>
        <v>59909.773256795634</v>
      </c>
      <c r="K56" s="359">
        <f t="shared" si="45"/>
        <v>53918.795931116081</v>
      </c>
      <c r="L56" s="359">
        <f t="shared" si="45"/>
        <v>48526.916338004448</v>
      </c>
      <c r="M56" s="359">
        <f t="shared" si="45"/>
        <v>43674.224704203996</v>
      </c>
      <c r="N56" s="359">
        <f t="shared" si="45"/>
        <v>39306.802233783579</v>
      </c>
      <c r="O56" s="359">
        <f t="shared" si="45"/>
        <v>35376.122010405219</v>
      </c>
      <c r="P56" s="359">
        <f t="shared" si="45"/>
        <v>31838.509809364703</v>
      </c>
      <c r="Q56" s="359">
        <f t="shared" si="45"/>
        <v>28654.658828428255</v>
      </c>
      <c r="R56" s="359">
        <f t="shared" si="45"/>
        <v>25789.192945585437</v>
      </c>
    </row>
    <row r="57" spans="1:18" ht="22.2" x14ac:dyDescent="0.3">
      <c r="A57" s="383" t="s">
        <v>428</v>
      </c>
      <c r="B57" s="379"/>
      <c r="C57" s="363"/>
      <c r="D57" s="363"/>
      <c r="E57" s="363">
        <f t="shared" ref="E57:M57" si="46">SUM(E44:E56)/13</f>
        <v>107094.26746140367</v>
      </c>
      <c r="F57" s="363">
        <f t="shared" si="46"/>
        <v>96384.84071526333</v>
      </c>
      <c r="G57" s="363">
        <f t="shared" si="46"/>
        <v>86746.356643737003</v>
      </c>
      <c r="H57" s="363">
        <f t="shared" si="46"/>
        <v>78071.720979363265</v>
      </c>
      <c r="I57" s="363">
        <f t="shared" si="46"/>
        <v>70264.548881426948</v>
      </c>
      <c r="J57" s="363">
        <f t="shared" si="46"/>
        <v>63238.093993284274</v>
      </c>
      <c r="K57" s="363">
        <f t="shared" si="46"/>
        <v>56914.284593955839</v>
      </c>
      <c r="L57" s="363">
        <f t="shared" si="46"/>
        <v>51222.856134560243</v>
      </c>
      <c r="M57" s="363">
        <f t="shared" si="46"/>
        <v>46100.57052110423</v>
      </c>
      <c r="N57" s="363">
        <f t="shared" ref="N57:Q57" si="47">SUM(N44:N56)/13</f>
        <v>41490.513468993791</v>
      </c>
      <c r="O57" s="363">
        <f t="shared" si="47"/>
        <v>37341.46212209441</v>
      </c>
      <c r="P57" s="363">
        <f t="shared" si="47"/>
        <v>33607.315909884972</v>
      </c>
      <c r="Q57" s="363">
        <f t="shared" si="47"/>
        <v>30246.58431889649</v>
      </c>
      <c r="R57" s="363">
        <f t="shared" ref="R57" si="48">SUM(R44:R56)/13</f>
        <v>27221.925887006837</v>
      </c>
    </row>
    <row r="58" spans="1:18" x14ac:dyDescent="0.3">
      <c r="A58" s="380" t="s">
        <v>429</v>
      </c>
      <c r="B58" s="381"/>
      <c r="C58" s="384"/>
      <c r="D58" s="384"/>
      <c r="E58" s="384">
        <v>1.4999999999999999E-2</v>
      </c>
      <c r="F58" s="384">
        <v>1.4999999999999999E-2</v>
      </c>
      <c r="G58" s="384">
        <v>1.4999999999999999E-2</v>
      </c>
      <c r="H58" s="384">
        <v>1.4999999999999999E-2</v>
      </c>
      <c r="I58" s="384">
        <v>1.4999999999999999E-2</v>
      </c>
      <c r="J58" s="384">
        <v>1.4999999999999999E-2</v>
      </c>
      <c r="K58" s="384">
        <v>1.4999999999999999E-2</v>
      </c>
      <c r="L58" s="384">
        <v>1.4999999999999999E-2</v>
      </c>
      <c r="M58" s="384">
        <v>1.4999999999999999E-2</v>
      </c>
      <c r="N58" s="384">
        <v>1.4999999999999999E-2</v>
      </c>
      <c r="O58" s="384">
        <v>1.4999999999999999E-2</v>
      </c>
      <c r="P58" s="384">
        <v>1.4999999999999999E-2</v>
      </c>
      <c r="Q58" s="384">
        <v>1.4999999999999999E-2</v>
      </c>
      <c r="R58" s="384">
        <v>1.4999999999999999E-2</v>
      </c>
    </row>
    <row r="59" spans="1:18" x14ac:dyDescent="0.3">
      <c r="A59" s="385" t="s">
        <v>430</v>
      </c>
      <c r="B59" s="386"/>
      <c r="C59" s="387"/>
      <c r="D59" s="387"/>
      <c r="E59" s="387">
        <f t="shared" ref="E59:R59" si="49">E57*E58</f>
        <v>1606.4140119210549</v>
      </c>
      <c r="F59" s="387">
        <f t="shared" si="49"/>
        <v>1445.77261072895</v>
      </c>
      <c r="G59" s="387">
        <f t="shared" si="49"/>
        <v>1301.195349656055</v>
      </c>
      <c r="H59" s="387">
        <f t="shared" si="49"/>
        <v>1171.0758146904489</v>
      </c>
      <c r="I59" s="387">
        <f t="shared" si="49"/>
        <v>1053.9682332214043</v>
      </c>
      <c r="J59" s="387">
        <f t="shared" si="49"/>
        <v>948.57140989926404</v>
      </c>
      <c r="K59" s="387">
        <f t="shared" si="49"/>
        <v>853.71426890933753</v>
      </c>
      <c r="L59" s="387">
        <f t="shared" si="49"/>
        <v>768.34284201840364</v>
      </c>
      <c r="M59" s="387">
        <f t="shared" si="49"/>
        <v>691.50855781656344</v>
      </c>
      <c r="N59" s="387">
        <f t="shared" si="49"/>
        <v>622.35770203490688</v>
      </c>
      <c r="O59" s="387">
        <f t="shared" si="49"/>
        <v>560.12193183141608</v>
      </c>
      <c r="P59" s="387">
        <f t="shared" si="49"/>
        <v>504.10973864827457</v>
      </c>
      <c r="Q59" s="387">
        <f t="shared" si="49"/>
        <v>453.69876478344736</v>
      </c>
      <c r="R59" s="387">
        <f t="shared" si="49"/>
        <v>408.32888830510257</v>
      </c>
    </row>
  </sheetData>
  <mergeCells count="4">
    <mergeCell ref="A3:A5"/>
    <mergeCell ref="B3:B5"/>
    <mergeCell ref="C3:C5"/>
    <mergeCell ref="D3:Q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workbookViewId="0">
      <selection activeCell="F9" sqref="F9"/>
    </sheetView>
  </sheetViews>
  <sheetFormatPr defaultRowHeight="14.4" x14ac:dyDescent="0.3"/>
  <cols>
    <col min="1" max="1" width="20.5546875" customWidth="1"/>
    <col min="2" max="2" width="38.33203125" bestFit="1" customWidth="1"/>
    <col min="3" max="3" width="9.88671875" customWidth="1"/>
    <col min="4" max="16" width="9.6640625" customWidth="1"/>
    <col min="256" max="256" width="38.33203125" bestFit="1" customWidth="1"/>
    <col min="257" max="257" width="6.109375" customWidth="1"/>
    <col min="258" max="269" width="9.6640625" customWidth="1"/>
    <col min="272" max="272" width="19.109375" bestFit="1" customWidth="1"/>
    <col min="512" max="512" width="38.33203125" bestFit="1" customWidth="1"/>
    <col min="513" max="513" width="6.109375" customWidth="1"/>
    <col min="514" max="525" width="9.6640625" customWidth="1"/>
    <col min="528" max="528" width="19.109375" bestFit="1" customWidth="1"/>
    <col min="768" max="768" width="38.33203125" bestFit="1" customWidth="1"/>
    <col min="769" max="769" width="6.109375" customWidth="1"/>
    <col min="770" max="781" width="9.6640625" customWidth="1"/>
    <col min="784" max="784" width="19.109375" bestFit="1" customWidth="1"/>
    <col min="1024" max="1024" width="38.33203125" bestFit="1" customWidth="1"/>
    <col min="1025" max="1025" width="6.109375" customWidth="1"/>
    <col min="1026" max="1037" width="9.6640625" customWidth="1"/>
    <col min="1040" max="1040" width="19.109375" bestFit="1" customWidth="1"/>
    <col min="1280" max="1280" width="38.33203125" bestFit="1" customWidth="1"/>
    <col min="1281" max="1281" width="6.109375" customWidth="1"/>
    <col min="1282" max="1293" width="9.6640625" customWidth="1"/>
    <col min="1296" max="1296" width="19.109375" bestFit="1" customWidth="1"/>
    <col min="1536" max="1536" width="38.33203125" bestFit="1" customWidth="1"/>
    <col min="1537" max="1537" width="6.109375" customWidth="1"/>
    <col min="1538" max="1549" width="9.6640625" customWidth="1"/>
    <col min="1552" max="1552" width="19.109375" bestFit="1" customWidth="1"/>
    <col min="1792" max="1792" width="38.33203125" bestFit="1" customWidth="1"/>
    <col min="1793" max="1793" width="6.109375" customWidth="1"/>
    <col min="1794" max="1805" width="9.6640625" customWidth="1"/>
    <col min="1808" max="1808" width="19.109375" bestFit="1" customWidth="1"/>
    <col min="2048" max="2048" width="38.33203125" bestFit="1" customWidth="1"/>
    <col min="2049" max="2049" width="6.109375" customWidth="1"/>
    <col min="2050" max="2061" width="9.6640625" customWidth="1"/>
    <col min="2064" max="2064" width="19.109375" bestFit="1" customWidth="1"/>
    <col min="2304" max="2304" width="38.33203125" bestFit="1" customWidth="1"/>
    <col min="2305" max="2305" width="6.109375" customWidth="1"/>
    <col min="2306" max="2317" width="9.6640625" customWidth="1"/>
    <col min="2320" max="2320" width="19.109375" bestFit="1" customWidth="1"/>
    <col min="2560" max="2560" width="38.33203125" bestFit="1" customWidth="1"/>
    <col min="2561" max="2561" width="6.109375" customWidth="1"/>
    <col min="2562" max="2573" width="9.6640625" customWidth="1"/>
    <col min="2576" max="2576" width="19.109375" bestFit="1" customWidth="1"/>
    <col min="2816" max="2816" width="38.33203125" bestFit="1" customWidth="1"/>
    <col min="2817" max="2817" width="6.109375" customWidth="1"/>
    <col min="2818" max="2829" width="9.6640625" customWidth="1"/>
    <col min="2832" max="2832" width="19.109375" bestFit="1" customWidth="1"/>
    <col min="3072" max="3072" width="38.33203125" bestFit="1" customWidth="1"/>
    <col min="3073" max="3073" width="6.109375" customWidth="1"/>
    <col min="3074" max="3085" width="9.6640625" customWidth="1"/>
    <col min="3088" max="3088" width="19.109375" bestFit="1" customWidth="1"/>
    <col min="3328" max="3328" width="38.33203125" bestFit="1" customWidth="1"/>
    <col min="3329" max="3329" width="6.109375" customWidth="1"/>
    <col min="3330" max="3341" width="9.6640625" customWidth="1"/>
    <col min="3344" max="3344" width="19.109375" bestFit="1" customWidth="1"/>
    <col min="3584" max="3584" width="38.33203125" bestFit="1" customWidth="1"/>
    <col min="3585" max="3585" width="6.109375" customWidth="1"/>
    <col min="3586" max="3597" width="9.6640625" customWidth="1"/>
    <col min="3600" max="3600" width="19.109375" bestFit="1" customWidth="1"/>
    <col min="3840" max="3840" width="38.33203125" bestFit="1" customWidth="1"/>
    <col min="3841" max="3841" width="6.109375" customWidth="1"/>
    <col min="3842" max="3853" width="9.6640625" customWidth="1"/>
    <col min="3856" max="3856" width="19.109375" bestFit="1" customWidth="1"/>
    <col min="4096" max="4096" width="38.33203125" bestFit="1" customWidth="1"/>
    <col min="4097" max="4097" width="6.109375" customWidth="1"/>
    <col min="4098" max="4109" width="9.6640625" customWidth="1"/>
    <col min="4112" max="4112" width="19.109375" bestFit="1" customWidth="1"/>
    <col min="4352" max="4352" width="38.33203125" bestFit="1" customWidth="1"/>
    <col min="4353" max="4353" width="6.109375" customWidth="1"/>
    <col min="4354" max="4365" width="9.6640625" customWidth="1"/>
    <col min="4368" max="4368" width="19.109375" bestFit="1" customWidth="1"/>
    <col min="4608" max="4608" width="38.33203125" bestFit="1" customWidth="1"/>
    <col min="4609" max="4609" width="6.109375" customWidth="1"/>
    <col min="4610" max="4621" width="9.6640625" customWidth="1"/>
    <col min="4624" max="4624" width="19.109375" bestFit="1" customWidth="1"/>
    <col min="4864" max="4864" width="38.33203125" bestFit="1" customWidth="1"/>
    <col min="4865" max="4865" width="6.109375" customWidth="1"/>
    <col min="4866" max="4877" width="9.6640625" customWidth="1"/>
    <col min="4880" max="4880" width="19.109375" bestFit="1" customWidth="1"/>
    <col min="5120" max="5120" width="38.33203125" bestFit="1" customWidth="1"/>
    <col min="5121" max="5121" width="6.109375" customWidth="1"/>
    <col min="5122" max="5133" width="9.6640625" customWidth="1"/>
    <col min="5136" max="5136" width="19.109375" bestFit="1" customWidth="1"/>
    <col min="5376" max="5376" width="38.33203125" bestFit="1" customWidth="1"/>
    <col min="5377" max="5377" width="6.109375" customWidth="1"/>
    <col min="5378" max="5389" width="9.6640625" customWidth="1"/>
    <col min="5392" max="5392" width="19.109375" bestFit="1" customWidth="1"/>
    <col min="5632" max="5632" width="38.33203125" bestFit="1" customWidth="1"/>
    <col min="5633" max="5633" width="6.109375" customWidth="1"/>
    <col min="5634" max="5645" width="9.6640625" customWidth="1"/>
    <col min="5648" max="5648" width="19.109375" bestFit="1" customWidth="1"/>
    <col min="5888" max="5888" width="38.33203125" bestFit="1" customWidth="1"/>
    <col min="5889" max="5889" width="6.109375" customWidth="1"/>
    <col min="5890" max="5901" width="9.6640625" customWidth="1"/>
    <col min="5904" max="5904" width="19.109375" bestFit="1" customWidth="1"/>
    <col min="6144" max="6144" width="38.33203125" bestFit="1" customWidth="1"/>
    <col min="6145" max="6145" width="6.109375" customWidth="1"/>
    <col min="6146" max="6157" width="9.6640625" customWidth="1"/>
    <col min="6160" max="6160" width="19.109375" bestFit="1" customWidth="1"/>
    <col min="6400" max="6400" width="38.33203125" bestFit="1" customWidth="1"/>
    <col min="6401" max="6401" width="6.109375" customWidth="1"/>
    <col min="6402" max="6413" width="9.6640625" customWidth="1"/>
    <col min="6416" max="6416" width="19.109375" bestFit="1" customWidth="1"/>
    <col min="6656" max="6656" width="38.33203125" bestFit="1" customWidth="1"/>
    <col min="6657" max="6657" width="6.109375" customWidth="1"/>
    <col min="6658" max="6669" width="9.6640625" customWidth="1"/>
    <col min="6672" max="6672" width="19.109375" bestFit="1" customWidth="1"/>
    <col min="6912" max="6912" width="38.33203125" bestFit="1" customWidth="1"/>
    <col min="6913" max="6913" width="6.109375" customWidth="1"/>
    <col min="6914" max="6925" width="9.6640625" customWidth="1"/>
    <col min="6928" max="6928" width="19.109375" bestFit="1" customWidth="1"/>
    <col min="7168" max="7168" width="38.33203125" bestFit="1" customWidth="1"/>
    <col min="7169" max="7169" width="6.109375" customWidth="1"/>
    <col min="7170" max="7181" width="9.6640625" customWidth="1"/>
    <col min="7184" max="7184" width="19.109375" bestFit="1" customWidth="1"/>
    <col min="7424" max="7424" width="38.33203125" bestFit="1" customWidth="1"/>
    <col min="7425" max="7425" width="6.109375" customWidth="1"/>
    <col min="7426" max="7437" width="9.6640625" customWidth="1"/>
    <col min="7440" max="7440" width="19.109375" bestFit="1" customWidth="1"/>
    <col min="7680" max="7680" width="38.33203125" bestFit="1" customWidth="1"/>
    <col min="7681" max="7681" width="6.109375" customWidth="1"/>
    <col min="7682" max="7693" width="9.6640625" customWidth="1"/>
    <col min="7696" max="7696" width="19.109375" bestFit="1" customWidth="1"/>
    <col min="7936" max="7936" width="38.33203125" bestFit="1" customWidth="1"/>
    <col min="7937" max="7937" width="6.109375" customWidth="1"/>
    <col min="7938" max="7949" width="9.6640625" customWidth="1"/>
    <col min="7952" max="7952" width="19.109375" bestFit="1" customWidth="1"/>
    <col min="8192" max="8192" width="38.33203125" bestFit="1" customWidth="1"/>
    <col min="8193" max="8193" width="6.109375" customWidth="1"/>
    <col min="8194" max="8205" width="9.6640625" customWidth="1"/>
    <col min="8208" max="8208" width="19.109375" bestFit="1" customWidth="1"/>
    <col min="8448" max="8448" width="38.33203125" bestFit="1" customWidth="1"/>
    <col min="8449" max="8449" width="6.109375" customWidth="1"/>
    <col min="8450" max="8461" width="9.6640625" customWidth="1"/>
    <col min="8464" max="8464" width="19.109375" bestFit="1" customWidth="1"/>
    <col min="8704" max="8704" width="38.33203125" bestFit="1" customWidth="1"/>
    <col min="8705" max="8705" width="6.109375" customWidth="1"/>
    <col min="8706" max="8717" width="9.6640625" customWidth="1"/>
    <col min="8720" max="8720" width="19.109375" bestFit="1" customWidth="1"/>
    <col min="8960" max="8960" width="38.33203125" bestFit="1" customWidth="1"/>
    <col min="8961" max="8961" width="6.109375" customWidth="1"/>
    <col min="8962" max="8973" width="9.6640625" customWidth="1"/>
    <col min="8976" max="8976" width="19.109375" bestFit="1" customWidth="1"/>
    <col min="9216" max="9216" width="38.33203125" bestFit="1" customWidth="1"/>
    <col min="9217" max="9217" width="6.109375" customWidth="1"/>
    <col min="9218" max="9229" width="9.6640625" customWidth="1"/>
    <col min="9232" max="9232" width="19.109375" bestFit="1" customWidth="1"/>
    <col min="9472" max="9472" width="38.33203125" bestFit="1" customWidth="1"/>
    <col min="9473" max="9473" width="6.109375" customWidth="1"/>
    <col min="9474" max="9485" width="9.6640625" customWidth="1"/>
    <col min="9488" max="9488" width="19.109375" bestFit="1" customWidth="1"/>
    <col min="9728" max="9728" width="38.33203125" bestFit="1" customWidth="1"/>
    <col min="9729" max="9729" width="6.109375" customWidth="1"/>
    <col min="9730" max="9741" width="9.6640625" customWidth="1"/>
    <col min="9744" max="9744" width="19.109375" bestFit="1" customWidth="1"/>
    <col min="9984" max="9984" width="38.33203125" bestFit="1" customWidth="1"/>
    <col min="9985" max="9985" width="6.109375" customWidth="1"/>
    <col min="9986" max="9997" width="9.6640625" customWidth="1"/>
    <col min="10000" max="10000" width="19.109375" bestFit="1" customWidth="1"/>
    <col min="10240" max="10240" width="38.33203125" bestFit="1" customWidth="1"/>
    <col min="10241" max="10241" width="6.109375" customWidth="1"/>
    <col min="10242" max="10253" width="9.6640625" customWidth="1"/>
    <col min="10256" max="10256" width="19.109375" bestFit="1" customWidth="1"/>
    <col min="10496" max="10496" width="38.33203125" bestFit="1" customWidth="1"/>
    <col min="10497" max="10497" width="6.109375" customWidth="1"/>
    <col min="10498" max="10509" width="9.6640625" customWidth="1"/>
    <col min="10512" max="10512" width="19.109375" bestFit="1" customWidth="1"/>
    <col min="10752" max="10752" width="38.33203125" bestFit="1" customWidth="1"/>
    <col min="10753" max="10753" width="6.109375" customWidth="1"/>
    <col min="10754" max="10765" width="9.6640625" customWidth="1"/>
    <col min="10768" max="10768" width="19.109375" bestFit="1" customWidth="1"/>
    <col min="11008" max="11008" width="38.33203125" bestFit="1" customWidth="1"/>
    <col min="11009" max="11009" width="6.109375" customWidth="1"/>
    <col min="11010" max="11021" width="9.6640625" customWidth="1"/>
    <col min="11024" max="11024" width="19.109375" bestFit="1" customWidth="1"/>
    <col min="11264" max="11264" width="38.33203125" bestFit="1" customWidth="1"/>
    <col min="11265" max="11265" width="6.109375" customWidth="1"/>
    <col min="11266" max="11277" width="9.6640625" customWidth="1"/>
    <col min="11280" max="11280" width="19.109375" bestFit="1" customWidth="1"/>
    <col min="11520" max="11520" width="38.33203125" bestFit="1" customWidth="1"/>
    <col min="11521" max="11521" width="6.109375" customWidth="1"/>
    <col min="11522" max="11533" width="9.6640625" customWidth="1"/>
    <col min="11536" max="11536" width="19.109375" bestFit="1" customWidth="1"/>
    <col min="11776" max="11776" width="38.33203125" bestFit="1" customWidth="1"/>
    <col min="11777" max="11777" width="6.109375" customWidth="1"/>
    <col min="11778" max="11789" width="9.6640625" customWidth="1"/>
    <col min="11792" max="11792" width="19.109375" bestFit="1" customWidth="1"/>
    <col min="12032" max="12032" width="38.33203125" bestFit="1" customWidth="1"/>
    <col min="12033" max="12033" width="6.109375" customWidth="1"/>
    <col min="12034" max="12045" width="9.6640625" customWidth="1"/>
    <col min="12048" max="12048" width="19.109375" bestFit="1" customWidth="1"/>
    <col min="12288" max="12288" width="38.33203125" bestFit="1" customWidth="1"/>
    <col min="12289" max="12289" width="6.109375" customWidth="1"/>
    <col min="12290" max="12301" width="9.6640625" customWidth="1"/>
    <col min="12304" max="12304" width="19.109375" bestFit="1" customWidth="1"/>
    <col min="12544" max="12544" width="38.33203125" bestFit="1" customWidth="1"/>
    <col min="12545" max="12545" width="6.109375" customWidth="1"/>
    <col min="12546" max="12557" width="9.6640625" customWidth="1"/>
    <col min="12560" max="12560" width="19.109375" bestFit="1" customWidth="1"/>
    <col min="12800" max="12800" width="38.33203125" bestFit="1" customWidth="1"/>
    <col min="12801" max="12801" width="6.109375" customWidth="1"/>
    <col min="12802" max="12813" width="9.6640625" customWidth="1"/>
    <col min="12816" max="12816" width="19.109375" bestFit="1" customWidth="1"/>
    <col min="13056" max="13056" width="38.33203125" bestFit="1" customWidth="1"/>
    <col min="13057" max="13057" width="6.109375" customWidth="1"/>
    <col min="13058" max="13069" width="9.6640625" customWidth="1"/>
    <col min="13072" max="13072" width="19.109375" bestFit="1" customWidth="1"/>
    <col min="13312" max="13312" width="38.33203125" bestFit="1" customWidth="1"/>
    <col min="13313" max="13313" width="6.109375" customWidth="1"/>
    <col min="13314" max="13325" width="9.6640625" customWidth="1"/>
    <col min="13328" max="13328" width="19.109375" bestFit="1" customWidth="1"/>
    <col min="13568" max="13568" width="38.33203125" bestFit="1" customWidth="1"/>
    <col min="13569" max="13569" width="6.109375" customWidth="1"/>
    <col min="13570" max="13581" width="9.6640625" customWidth="1"/>
    <col min="13584" max="13584" width="19.109375" bestFit="1" customWidth="1"/>
    <col min="13824" max="13824" width="38.33203125" bestFit="1" customWidth="1"/>
    <col min="13825" max="13825" width="6.109375" customWidth="1"/>
    <col min="13826" max="13837" width="9.6640625" customWidth="1"/>
    <col min="13840" max="13840" width="19.109375" bestFit="1" customWidth="1"/>
    <col min="14080" max="14080" width="38.33203125" bestFit="1" customWidth="1"/>
    <col min="14081" max="14081" width="6.109375" customWidth="1"/>
    <col min="14082" max="14093" width="9.6640625" customWidth="1"/>
    <col min="14096" max="14096" width="19.109375" bestFit="1" customWidth="1"/>
    <col min="14336" max="14336" width="38.33203125" bestFit="1" customWidth="1"/>
    <col min="14337" max="14337" width="6.109375" customWidth="1"/>
    <col min="14338" max="14349" width="9.6640625" customWidth="1"/>
    <col min="14352" max="14352" width="19.109375" bestFit="1" customWidth="1"/>
    <col min="14592" max="14592" width="38.33203125" bestFit="1" customWidth="1"/>
    <col min="14593" max="14593" width="6.109375" customWidth="1"/>
    <col min="14594" max="14605" width="9.6640625" customWidth="1"/>
    <col min="14608" max="14608" width="19.109375" bestFit="1" customWidth="1"/>
    <col min="14848" max="14848" width="38.33203125" bestFit="1" customWidth="1"/>
    <col min="14849" max="14849" width="6.109375" customWidth="1"/>
    <col min="14850" max="14861" width="9.6640625" customWidth="1"/>
    <col min="14864" max="14864" width="19.109375" bestFit="1" customWidth="1"/>
    <col min="15104" max="15104" width="38.33203125" bestFit="1" customWidth="1"/>
    <col min="15105" max="15105" width="6.109375" customWidth="1"/>
    <col min="15106" max="15117" width="9.6640625" customWidth="1"/>
    <col min="15120" max="15120" width="19.109375" bestFit="1" customWidth="1"/>
    <col min="15360" max="15360" width="38.33203125" bestFit="1" customWidth="1"/>
    <col min="15361" max="15361" width="6.109375" customWidth="1"/>
    <col min="15362" max="15373" width="9.6640625" customWidth="1"/>
    <col min="15376" max="15376" width="19.109375" bestFit="1" customWidth="1"/>
    <col min="15616" max="15616" width="38.33203125" bestFit="1" customWidth="1"/>
    <col min="15617" max="15617" width="6.109375" customWidth="1"/>
    <col min="15618" max="15629" width="9.6640625" customWidth="1"/>
    <col min="15632" max="15632" width="19.109375" bestFit="1" customWidth="1"/>
    <col min="15872" max="15872" width="38.33203125" bestFit="1" customWidth="1"/>
    <col min="15873" max="15873" width="6.109375" customWidth="1"/>
    <col min="15874" max="15885" width="9.6640625" customWidth="1"/>
    <col min="15888" max="15888" width="19.109375" bestFit="1" customWidth="1"/>
    <col min="16128" max="16128" width="38.33203125" bestFit="1" customWidth="1"/>
    <col min="16129" max="16129" width="6.109375" customWidth="1"/>
    <col min="16130" max="16141" width="9.6640625" customWidth="1"/>
    <col min="16144" max="16144" width="19.109375" bestFit="1" customWidth="1"/>
  </cols>
  <sheetData>
    <row r="1" spans="1:19" ht="15.6" x14ac:dyDescent="0.3">
      <c r="B1" s="347" t="s">
        <v>410</v>
      </c>
      <c r="C1" s="348"/>
      <c r="D1" s="348"/>
      <c r="E1" s="348"/>
      <c r="F1" s="348"/>
      <c r="G1" s="348"/>
      <c r="H1" s="348"/>
      <c r="I1" s="348"/>
    </row>
    <row r="2" spans="1:19" ht="15.6" x14ac:dyDescent="0.3">
      <c r="B2" s="349" t="s">
        <v>411</v>
      </c>
      <c r="C2" s="349"/>
      <c r="D2" s="349"/>
      <c r="E2" s="408"/>
      <c r="F2" s="350"/>
      <c r="G2" s="350"/>
      <c r="H2" s="350"/>
      <c r="I2" s="350"/>
    </row>
    <row r="3" spans="1:19" x14ac:dyDescent="0.3">
      <c r="A3" s="718" t="s">
        <v>432</v>
      </c>
      <c r="B3" s="708" t="s">
        <v>412</v>
      </c>
      <c r="C3" s="711" t="s">
        <v>213</v>
      </c>
      <c r="D3" s="711" t="s">
        <v>214</v>
      </c>
      <c r="E3" s="409"/>
      <c r="F3" s="717" t="s">
        <v>334</v>
      </c>
      <c r="G3" s="717"/>
      <c r="H3" s="717"/>
      <c r="I3" s="717"/>
      <c r="J3" s="717"/>
      <c r="K3" s="717"/>
      <c r="L3" s="717"/>
      <c r="M3" s="717"/>
      <c r="N3" s="717"/>
      <c r="O3" s="717"/>
      <c r="P3" s="717"/>
      <c r="Q3" s="717"/>
      <c r="R3" s="717"/>
      <c r="S3" s="717"/>
    </row>
    <row r="4" spans="1:19" x14ac:dyDescent="0.3">
      <c r="A4" s="719"/>
      <c r="B4" s="709"/>
      <c r="C4" s="712"/>
      <c r="D4" s="712"/>
      <c r="E4" s="410">
        <v>2023</v>
      </c>
      <c r="F4" s="351">
        <v>2024</v>
      </c>
      <c r="G4" s="351">
        <v>2025</v>
      </c>
      <c r="H4" s="351">
        <v>2026</v>
      </c>
      <c r="I4" s="351">
        <v>2027</v>
      </c>
      <c r="J4" s="351">
        <v>2028</v>
      </c>
      <c r="K4" s="351">
        <v>2029</v>
      </c>
      <c r="L4" s="351">
        <v>2030</v>
      </c>
      <c r="M4" s="351">
        <v>2031</v>
      </c>
      <c r="N4" s="351">
        <v>2032</v>
      </c>
      <c r="O4" s="351">
        <v>2033</v>
      </c>
      <c r="P4" s="351">
        <v>2034</v>
      </c>
      <c r="Q4" s="351">
        <v>2035</v>
      </c>
      <c r="R4" s="351">
        <v>2036</v>
      </c>
      <c r="S4" s="351">
        <v>2037</v>
      </c>
    </row>
    <row r="5" spans="1:19" ht="15" thickBot="1" x14ac:dyDescent="0.35">
      <c r="A5" s="719"/>
      <c r="B5" s="709"/>
      <c r="C5" s="712"/>
      <c r="D5" s="712"/>
      <c r="E5" s="409">
        <v>-1</v>
      </c>
      <c r="F5" s="390">
        <v>1</v>
      </c>
      <c r="G5" s="390">
        <v>2</v>
      </c>
      <c r="H5" s="390">
        <v>3</v>
      </c>
      <c r="I5" s="390">
        <v>4</v>
      </c>
      <c r="J5" s="390">
        <v>5</v>
      </c>
      <c r="K5" s="390">
        <v>6</v>
      </c>
      <c r="L5" s="390">
        <v>7</v>
      </c>
      <c r="M5" s="390">
        <v>8</v>
      </c>
      <c r="N5" s="390">
        <v>9</v>
      </c>
      <c r="O5" s="390">
        <v>10</v>
      </c>
      <c r="P5" s="390">
        <v>11</v>
      </c>
      <c r="Q5" s="390">
        <v>12</v>
      </c>
      <c r="R5" s="390">
        <v>13</v>
      </c>
      <c r="S5" s="390">
        <v>14</v>
      </c>
    </row>
    <row r="6" spans="1:19" x14ac:dyDescent="0.3">
      <c r="A6" s="391"/>
      <c r="B6" s="392" t="str">
        <f>'[4]В1_ФЭМ 3,4, новая ИТОГ'!B29</f>
        <v>Эксплуатационная руда</v>
      </c>
      <c r="C6" s="392" t="str">
        <f>'[4]В1_ФЭМ 3,4, новая ИТОГ'!C29</f>
        <v>тыс. т</v>
      </c>
      <c r="D6" s="393">
        <f>'ФЭМ 0.9'!D22</f>
        <v>18655.526000000002</v>
      </c>
      <c r="E6" s="393"/>
      <c r="F6" s="393">
        <f>D6</f>
        <v>18655.526000000002</v>
      </c>
      <c r="G6" s="393">
        <f>F6-F7</f>
        <v>17405.526000000002</v>
      </c>
      <c r="H6" s="393">
        <f t="shared" ref="H6:S6" si="0">G6-G7</f>
        <v>16105.526000000002</v>
      </c>
      <c r="I6" s="393">
        <f t="shared" si="0"/>
        <v>14705.526000000002</v>
      </c>
      <c r="J6" s="393">
        <f t="shared" si="0"/>
        <v>13205.526000000002</v>
      </c>
      <c r="K6" s="393">
        <f t="shared" si="0"/>
        <v>11705.526000000002</v>
      </c>
      <c r="L6" s="393">
        <f t="shared" si="0"/>
        <v>10205.526000000002</v>
      </c>
      <c r="M6" s="393">
        <f t="shared" si="0"/>
        <v>8705.5260000000017</v>
      </c>
      <c r="N6" s="393">
        <f t="shared" si="0"/>
        <v>7205.5260000000017</v>
      </c>
      <c r="O6" s="393">
        <f t="shared" si="0"/>
        <v>5705.5260000000017</v>
      </c>
      <c r="P6" s="393">
        <f t="shared" si="0"/>
        <v>4205.5260000000017</v>
      </c>
      <c r="Q6" s="393">
        <f t="shared" si="0"/>
        <v>2705.5260000000017</v>
      </c>
      <c r="R6" s="393">
        <f t="shared" si="0"/>
        <v>1205.5260000000017</v>
      </c>
      <c r="S6" s="414">
        <f t="shared" si="0"/>
        <v>405.52600000000166</v>
      </c>
    </row>
    <row r="7" spans="1:19" x14ac:dyDescent="0.3">
      <c r="A7" s="394"/>
      <c r="B7" s="395" t="s">
        <v>433</v>
      </c>
      <c r="C7" s="395" t="s">
        <v>229</v>
      </c>
      <c r="D7" s="370">
        <f>'ФЭМ 0.9'!D22</f>
        <v>18655.526000000002</v>
      </c>
      <c r="E7" s="370"/>
      <c r="F7" s="370">
        <f>'ФЭМ 0.9'!F22</f>
        <v>1250</v>
      </c>
      <c r="G7" s="370">
        <f>'ФЭМ 0.9'!G22</f>
        <v>1300</v>
      </c>
      <c r="H7" s="370">
        <f>'ФЭМ 0.9'!H22</f>
        <v>1400</v>
      </c>
      <c r="I7" s="370">
        <f>'ФЭМ 0.9'!I22</f>
        <v>1500</v>
      </c>
      <c r="J7" s="370">
        <f>'ФЭМ 0.9'!J22</f>
        <v>1500</v>
      </c>
      <c r="K7" s="370">
        <f>'ФЭМ 0.9'!K22</f>
        <v>1500</v>
      </c>
      <c r="L7" s="370">
        <f>'ФЭМ 0.9'!L22</f>
        <v>1500</v>
      </c>
      <c r="M7" s="370">
        <f>'ФЭМ 0.9'!M22</f>
        <v>1500</v>
      </c>
      <c r="N7" s="370">
        <f>'ФЭМ 0.9'!N22</f>
        <v>1500</v>
      </c>
      <c r="O7" s="370">
        <f>'ФЭМ 0.9'!O22</f>
        <v>1500</v>
      </c>
      <c r="P7" s="370">
        <f>'ФЭМ 0.9'!P22</f>
        <v>1500</v>
      </c>
      <c r="Q7" s="370">
        <f>'ФЭМ 0.9'!Q22</f>
        <v>1500</v>
      </c>
      <c r="R7" s="370">
        <f>'ФЭМ 0.9'!R22</f>
        <v>800</v>
      </c>
      <c r="S7" s="400">
        <f>'ФЭМ 0.9'!S22</f>
        <v>405.52600000000001</v>
      </c>
    </row>
    <row r="8" spans="1:19" x14ac:dyDescent="0.3">
      <c r="A8" s="394"/>
      <c r="B8" s="395" t="s">
        <v>434</v>
      </c>
      <c r="C8" s="396" t="s">
        <v>2</v>
      </c>
      <c r="D8" s="369"/>
      <c r="E8" s="369"/>
      <c r="F8" s="397">
        <f t="shared" ref="F8:S8" si="1">F7/F6</f>
        <v>6.7004275301591601E-2</v>
      </c>
      <c r="G8" s="397">
        <f t="shared" si="1"/>
        <v>7.4688923506247382E-2</v>
      </c>
      <c r="H8" s="397">
        <f t="shared" si="1"/>
        <v>8.6926685908923426E-2</v>
      </c>
      <c r="I8" s="397">
        <f t="shared" si="1"/>
        <v>0.1020024717238948</v>
      </c>
      <c r="J8" s="397">
        <f>J7/J6</f>
        <v>0.11358881122948074</v>
      </c>
      <c r="K8" s="397">
        <f t="shared" si="1"/>
        <v>0.12814460452268439</v>
      </c>
      <c r="L8" s="397">
        <f t="shared" si="1"/>
        <v>0.14697919538885107</v>
      </c>
      <c r="M8" s="397">
        <f t="shared" si="1"/>
        <v>0.17230435013346693</v>
      </c>
      <c r="N8" s="397">
        <f t="shared" si="1"/>
        <v>0.20817356012593663</v>
      </c>
      <c r="O8" s="397">
        <f t="shared" si="1"/>
        <v>0.26290301718018627</v>
      </c>
      <c r="P8" s="397">
        <f t="shared" si="1"/>
        <v>0.35667357662275762</v>
      </c>
      <c r="Q8" s="397">
        <f t="shared" si="1"/>
        <v>0.55442084090117749</v>
      </c>
      <c r="R8" s="397">
        <f t="shared" si="1"/>
        <v>0.66361073921259173</v>
      </c>
      <c r="S8" s="415">
        <f t="shared" si="1"/>
        <v>0.99999999999999589</v>
      </c>
    </row>
    <row r="9" spans="1:19" x14ac:dyDescent="0.3">
      <c r="A9" s="716" t="s">
        <v>435</v>
      </c>
      <c r="B9" s="355" t="s">
        <v>438</v>
      </c>
      <c r="C9" s="356" t="s">
        <v>415</v>
      </c>
      <c r="D9" s="357">
        <f>SUM(F9:S9)</f>
        <v>22745.199999999997</v>
      </c>
      <c r="E9" s="357"/>
      <c r="F9" s="356">
        <f>календари!F18*'И. Д.'!F85</f>
        <v>18998.8</v>
      </c>
      <c r="G9" s="356">
        <f>календари!G18*'И. Д.'!F85</f>
        <v>3746.3999999999996</v>
      </c>
      <c r="H9" s="356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416"/>
    </row>
    <row r="10" spans="1:19" x14ac:dyDescent="0.3">
      <c r="A10" s="716"/>
      <c r="B10" s="358" t="s">
        <v>416</v>
      </c>
      <c r="C10" s="356" t="s">
        <v>415</v>
      </c>
      <c r="D10" s="359"/>
      <c r="E10" s="359"/>
      <c r="F10" s="360">
        <f>F9</f>
        <v>18998.8</v>
      </c>
      <c r="G10" s="360">
        <f>F13+G9</f>
        <v>21472.199174400121</v>
      </c>
      <c r="H10" s="413">
        <f t="shared" ref="H10:O10" si="2">G13+H9</f>
        <v>19868.463732752443</v>
      </c>
      <c r="I10" s="413">
        <f t="shared" si="2"/>
        <v>18141.364026362637</v>
      </c>
      <c r="J10" s="413">
        <f t="shared" si="2"/>
        <v>16290.900055230699</v>
      </c>
      <c r="K10" s="413">
        <f t="shared" si="2"/>
        <v>14440.436084098761</v>
      </c>
      <c r="L10" s="413">
        <f t="shared" si="2"/>
        <v>12589.972112966825</v>
      </c>
      <c r="M10" s="413">
        <f t="shared" si="2"/>
        <v>10739.508141834887</v>
      </c>
      <c r="N10" s="413">
        <f t="shared" si="2"/>
        <v>8889.0441707029495</v>
      </c>
      <c r="O10" s="413">
        <f t="shared" si="2"/>
        <v>7038.5801995710126</v>
      </c>
      <c r="P10" s="413">
        <f>O13+P9</f>
        <v>5188.1162284390757</v>
      </c>
      <c r="Q10" s="356">
        <f>P13+Q9</f>
        <v>3337.6522573071388</v>
      </c>
      <c r="R10" s="356">
        <f t="shared" ref="R10:S10" si="3">Q13+R9</f>
        <v>1487.1882861752017</v>
      </c>
      <c r="S10" s="398">
        <f t="shared" si="3"/>
        <v>500.27416823816873</v>
      </c>
    </row>
    <row r="11" spans="1:19" x14ac:dyDescent="0.3">
      <c r="A11" s="716"/>
      <c r="B11" s="358" t="s">
        <v>417</v>
      </c>
      <c r="C11" s="356" t="s">
        <v>415</v>
      </c>
      <c r="D11" s="361"/>
      <c r="E11" s="361"/>
      <c r="F11" s="361">
        <f>F8</f>
        <v>6.7004275301591601E-2</v>
      </c>
      <c r="G11" s="361">
        <f>G8</f>
        <v>7.4688923506247382E-2</v>
      </c>
      <c r="H11" s="361">
        <f t="shared" ref="H11:S11" si="4">H8</f>
        <v>8.6926685908923426E-2</v>
      </c>
      <c r="I11" s="361">
        <f t="shared" si="4"/>
        <v>0.1020024717238948</v>
      </c>
      <c r="J11" s="361">
        <f t="shared" si="4"/>
        <v>0.11358881122948074</v>
      </c>
      <c r="K11" s="361">
        <f t="shared" si="4"/>
        <v>0.12814460452268439</v>
      </c>
      <c r="L11" s="361">
        <f t="shared" si="4"/>
        <v>0.14697919538885107</v>
      </c>
      <c r="M11" s="361">
        <f t="shared" si="4"/>
        <v>0.17230435013346693</v>
      </c>
      <c r="N11" s="361">
        <f t="shared" si="4"/>
        <v>0.20817356012593663</v>
      </c>
      <c r="O11" s="361">
        <f t="shared" si="4"/>
        <v>0.26290301718018627</v>
      </c>
      <c r="P11" s="361">
        <f t="shared" si="4"/>
        <v>0.35667357662275762</v>
      </c>
      <c r="Q11" s="361">
        <f t="shared" si="4"/>
        <v>0.55442084090117749</v>
      </c>
      <c r="R11" s="361">
        <f t="shared" si="4"/>
        <v>0.66361073921259173</v>
      </c>
      <c r="S11" s="399">
        <f t="shared" si="4"/>
        <v>0.99999999999999589</v>
      </c>
    </row>
    <row r="12" spans="1:19" x14ac:dyDescent="0.3">
      <c r="A12" s="716"/>
      <c r="B12" s="358" t="s">
        <v>418</v>
      </c>
      <c r="C12" s="356" t="s">
        <v>415</v>
      </c>
      <c r="D12" s="357">
        <f>SUM(F12:S12)</f>
        <v>22745.199999999997</v>
      </c>
      <c r="E12" s="357"/>
      <c r="F12" s="360">
        <f t="shared" ref="F12:O12" si="5">F10*F11</f>
        <v>1273.0008255998785</v>
      </c>
      <c r="G12" s="360">
        <f t="shared" si="5"/>
        <v>1603.7354416476787</v>
      </c>
      <c r="H12" s="360">
        <f t="shared" si="5"/>
        <v>1727.099706389808</v>
      </c>
      <c r="I12" s="360">
        <f t="shared" si="5"/>
        <v>1850.4639711319371</v>
      </c>
      <c r="J12" s="360">
        <f t="shared" si="5"/>
        <v>1850.4639711319371</v>
      </c>
      <c r="K12" s="360">
        <f t="shared" si="5"/>
        <v>1850.4639711319369</v>
      </c>
      <c r="L12" s="360">
        <f t="shared" si="5"/>
        <v>1850.4639711319371</v>
      </c>
      <c r="M12" s="360">
        <f t="shared" si="5"/>
        <v>1850.4639711319371</v>
      </c>
      <c r="N12" s="360">
        <f t="shared" si="5"/>
        <v>1850.4639711319369</v>
      </c>
      <c r="O12" s="360">
        <f t="shared" si="5"/>
        <v>1850.4639711319369</v>
      </c>
      <c r="P12" s="360">
        <f>P10*P11</f>
        <v>1850.4639711319369</v>
      </c>
      <c r="Q12" s="356">
        <f>Q10*Q11</f>
        <v>1850.4639711319371</v>
      </c>
      <c r="R12" s="356">
        <f t="shared" ref="R12:S12" si="6">R10*R11</f>
        <v>986.91411793703298</v>
      </c>
      <c r="S12" s="398">
        <f t="shared" si="6"/>
        <v>500.27416823816668</v>
      </c>
    </row>
    <row r="13" spans="1:19" ht="15" thickBot="1" x14ac:dyDescent="0.35">
      <c r="A13" s="716"/>
      <c r="B13" s="358" t="s">
        <v>419</v>
      </c>
      <c r="C13" s="356" t="s">
        <v>415</v>
      </c>
      <c r="D13" s="357"/>
      <c r="E13" s="357"/>
      <c r="F13" s="360">
        <f t="shared" ref="F13:O13" si="7">F10-F12</f>
        <v>17725.799174400119</v>
      </c>
      <c r="G13" s="360">
        <f t="shared" si="7"/>
        <v>19868.463732752443</v>
      </c>
      <c r="H13" s="360">
        <f t="shared" si="7"/>
        <v>18141.364026362637</v>
      </c>
      <c r="I13" s="360">
        <f t="shared" si="7"/>
        <v>16290.900055230699</v>
      </c>
      <c r="J13" s="360">
        <f t="shared" si="7"/>
        <v>14440.436084098761</v>
      </c>
      <c r="K13" s="360">
        <f t="shared" si="7"/>
        <v>12589.972112966825</v>
      </c>
      <c r="L13" s="360">
        <f t="shared" si="7"/>
        <v>10739.508141834887</v>
      </c>
      <c r="M13" s="360">
        <f t="shared" si="7"/>
        <v>8889.0441707029495</v>
      </c>
      <c r="N13" s="360">
        <f t="shared" si="7"/>
        <v>7038.5801995710126</v>
      </c>
      <c r="O13" s="360">
        <f t="shared" si="7"/>
        <v>5188.1162284390757</v>
      </c>
      <c r="P13" s="360">
        <f>P10-P12</f>
        <v>3337.6522573071388</v>
      </c>
      <c r="Q13" s="356">
        <f>Q10-Q12</f>
        <v>1487.1882861752017</v>
      </c>
      <c r="R13" s="356">
        <f t="shared" ref="R13:S13" si="8">R10-R12</f>
        <v>500.27416823816873</v>
      </c>
      <c r="S13" s="398">
        <f t="shared" si="8"/>
        <v>2.0463630789890885E-12</v>
      </c>
    </row>
    <row r="14" spans="1:19" x14ac:dyDescent="0.3">
      <c r="A14" s="391"/>
      <c r="B14" s="392" t="str">
        <f>'[4]В1_ФЭМ 3,4, новая ИТОГ'!B44</f>
        <v>Добыча руды</v>
      </c>
      <c r="C14" s="406" t="s">
        <v>229</v>
      </c>
      <c r="D14" s="393">
        <f>'ФЭМ 1.2'!D22</f>
        <v>17377.579000000002</v>
      </c>
      <c r="E14" s="393"/>
      <c r="F14" s="393">
        <f>D14</f>
        <v>17377.579000000002</v>
      </c>
      <c r="G14" s="393">
        <f>F14-F15</f>
        <v>16127.579000000002</v>
      </c>
      <c r="H14" s="393">
        <f t="shared" ref="H14:R14" si="9">G14-G15</f>
        <v>14827.579000000002</v>
      </c>
      <c r="I14" s="393">
        <f t="shared" si="9"/>
        <v>13427.579000000002</v>
      </c>
      <c r="J14" s="393">
        <f t="shared" si="9"/>
        <v>11927.579000000002</v>
      </c>
      <c r="K14" s="393">
        <f t="shared" si="9"/>
        <v>10427.579000000002</v>
      </c>
      <c r="L14" s="393">
        <f t="shared" si="9"/>
        <v>8927.5790000000015</v>
      </c>
      <c r="M14" s="393">
        <f t="shared" si="9"/>
        <v>7427.5790000000015</v>
      </c>
      <c r="N14" s="393">
        <f t="shared" si="9"/>
        <v>5927.5790000000015</v>
      </c>
      <c r="O14" s="393">
        <f t="shared" si="9"/>
        <v>4427.5790000000015</v>
      </c>
      <c r="P14" s="393">
        <f t="shared" si="9"/>
        <v>2927.5790000000015</v>
      </c>
      <c r="Q14" s="393">
        <f t="shared" si="9"/>
        <v>1427.5790000000015</v>
      </c>
      <c r="R14" s="393">
        <f t="shared" si="9"/>
        <v>627.57900000000154</v>
      </c>
      <c r="S14" s="393"/>
    </row>
    <row r="15" spans="1:19" x14ac:dyDescent="0.3">
      <c r="A15" s="407"/>
      <c r="B15" s="395" t="s">
        <v>433</v>
      </c>
      <c r="C15" s="356" t="s">
        <v>229</v>
      </c>
      <c r="D15" s="370">
        <f>'[4]В2_ФЭМ РТ2,новая'!D27</f>
        <v>5134.9394192589916</v>
      </c>
      <c r="E15" s="370"/>
      <c r="F15" s="370">
        <f>'ФЭМ 1.2'!F22</f>
        <v>1250</v>
      </c>
      <c r="G15" s="370">
        <f>'ФЭМ 1.2'!G22</f>
        <v>1300</v>
      </c>
      <c r="H15" s="370">
        <f>'ФЭМ 1.2'!H22</f>
        <v>1400</v>
      </c>
      <c r="I15" s="370">
        <f>'ФЭМ 1.2'!I22</f>
        <v>1500</v>
      </c>
      <c r="J15" s="370">
        <f>'ФЭМ 1.2'!J22</f>
        <v>1500</v>
      </c>
      <c r="K15" s="370">
        <f>'ФЭМ 1.2'!K22</f>
        <v>1500</v>
      </c>
      <c r="L15" s="370">
        <f>'ФЭМ 1.2'!L22</f>
        <v>1500</v>
      </c>
      <c r="M15" s="370">
        <f>'ФЭМ 1.2'!M22</f>
        <v>1500</v>
      </c>
      <c r="N15" s="370">
        <f>'ФЭМ 1.2'!N22</f>
        <v>1500</v>
      </c>
      <c r="O15" s="370">
        <f>'ФЭМ 1.2'!O22</f>
        <v>1500</v>
      </c>
      <c r="P15" s="370">
        <f>'ФЭМ 1.2'!P22</f>
        <v>1500</v>
      </c>
      <c r="Q15" s="370">
        <f>'ФЭМ 1.2'!Q22</f>
        <v>800</v>
      </c>
      <c r="R15" s="370">
        <f>'ФЭМ 1.2'!R22</f>
        <v>627.57899999999995</v>
      </c>
      <c r="S15" s="370"/>
    </row>
    <row r="16" spans="1:19" x14ac:dyDescent="0.3">
      <c r="A16" s="407"/>
      <c r="B16" s="395" t="s">
        <v>434</v>
      </c>
      <c r="C16" s="356" t="s">
        <v>2</v>
      </c>
      <c r="D16" s="369"/>
      <c r="E16" s="369"/>
      <c r="F16" s="555">
        <f>F15/F14</f>
        <v>7.1931769091655398E-2</v>
      </c>
      <c r="G16" s="555">
        <f>G15/G14</f>
        <v>8.0607262875599606E-2</v>
      </c>
      <c r="H16" s="397">
        <f>H15/H14</f>
        <v>9.4418650543018512E-2</v>
      </c>
      <c r="I16" s="397">
        <f t="shared" ref="I16:R16" si="10">I15/I14</f>
        <v>0.11171038353228083</v>
      </c>
      <c r="J16" s="397">
        <f t="shared" si="10"/>
        <v>0.12575896583875065</v>
      </c>
      <c r="K16" s="397">
        <f t="shared" si="10"/>
        <v>0.1438493057688654</v>
      </c>
      <c r="L16" s="397">
        <f t="shared" si="10"/>
        <v>0.16801867561183156</v>
      </c>
      <c r="M16" s="397">
        <f t="shared" si="10"/>
        <v>0.20195005667391752</v>
      </c>
      <c r="N16" s="397">
        <f t="shared" si="10"/>
        <v>0.25305440889104974</v>
      </c>
      <c r="O16" s="397">
        <f t="shared" si="10"/>
        <v>0.33878559817904985</v>
      </c>
      <c r="P16" s="397">
        <f t="shared" si="10"/>
        <v>0.51236875247431379</v>
      </c>
      <c r="Q16" s="397">
        <f t="shared" si="10"/>
        <v>0.56038930244841034</v>
      </c>
      <c r="R16" s="397">
        <f t="shared" si="10"/>
        <v>0.99999999999999745</v>
      </c>
      <c r="S16" s="416"/>
    </row>
    <row r="17" spans="1:19" x14ac:dyDescent="0.3">
      <c r="A17" s="716" t="s">
        <v>436</v>
      </c>
      <c r="B17" s="355" t="s">
        <v>438</v>
      </c>
      <c r="C17" s="356" t="s">
        <v>415</v>
      </c>
      <c r="D17" s="357">
        <f>SUM(F17:R17)</f>
        <v>22745.199999999997</v>
      </c>
      <c r="E17" s="357"/>
      <c r="F17" s="356">
        <f>календари!F33*'И. Д.'!$F$85</f>
        <v>18998.8</v>
      </c>
      <c r="G17" s="356">
        <f>календари!G33*'И. Д.'!$F$85</f>
        <v>3746.3999999999996</v>
      </c>
      <c r="H17" s="356"/>
      <c r="I17" s="356"/>
      <c r="J17" s="356"/>
      <c r="K17" s="356"/>
      <c r="L17" s="356"/>
      <c r="M17" s="356"/>
      <c r="N17" s="356"/>
      <c r="O17" s="356"/>
      <c r="P17" s="356"/>
      <c r="Q17" s="356"/>
      <c r="R17" s="356"/>
      <c r="S17" s="416"/>
    </row>
    <row r="18" spans="1:19" x14ac:dyDescent="0.3">
      <c r="A18" s="716"/>
      <c r="B18" s="358" t="s">
        <v>416</v>
      </c>
      <c r="C18" s="356" t="s">
        <v>415</v>
      </c>
      <c r="D18" s="359"/>
      <c r="E18" s="359"/>
      <c r="F18" s="360">
        <f>F17</f>
        <v>18998.8</v>
      </c>
      <c r="G18" s="360">
        <f>F21+G17</f>
        <v>21378.582705381457</v>
      </c>
      <c r="H18" s="360">
        <f t="shared" ref="H18" si="11">G21+H17</f>
        <v>19655.313669341027</v>
      </c>
      <c r="I18" s="360">
        <f t="shared" ref="I18" si="12">H21+I17</f>
        <v>17799.485476682101</v>
      </c>
      <c r="J18" s="360">
        <f t="shared" ref="J18" si="13">I21+J17</f>
        <v>15811.098127404681</v>
      </c>
      <c r="K18" s="360">
        <f t="shared" ref="K18" si="14">J21+K17</f>
        <v>13822.710778127261</v>
      </c>
      <c r="L18" s="360">
        <f t="shared" ref="L18" si="15">K21+L17</f>
        <v>11834.323428849841</v>
      </c>
      <c r="M18" s="360">
        <f t="shared" ref="M18" si="16">L21+M17</f>
        <v>9845.9360795724206</v>
      </c>
      <c r="N18" s="360">
        <f t="shared" ref="N18" si="17">M21+N17</f>
        <v>7857.5487302950005</v>
      </c>
      <c r="O18" s="360">
        <f t="shared" ref="O18" si="18">N21+O17</f>
        <v>5869.1613810175804</v>
      </c>
      <c r="P18" s="360">
        <f>O21+P17</f>
        <v>3880.7740317401613</v>
      </c>
      <c r="Q18" s="356">
        <f>P21+Q17</f>
        <v>1892.3866824627419</v>
      </c>
      <c r="R18" s="356">
        <f t="shared" ref="R18" si="19">Q21+R17</f>
        <v>831.91342951478464</v>
      </c>
      <c r="S18" s="398"/>
    </row>
    <row r="19" spans="1:19" x14ac:dyDescent="0.3">
      <c r="A19" s="716"/>
      <c r="B19" s="358" t="s">
        <v>417</v>
      </c>
      <c r="C19" s="356" t="s">
        <v>415</v>
      </c>
      <c r="D19" s="361"/>
      <c r="E19" s="361"/>
      <c r="F19" s="361">
        <f>F16</f>
        <v>7.1931769091655398E-2</v>
      </c>
      <c r="G19" s="361">
        <f>G16</f>
        <v>8.0607262875599606E-2</v>
      </c>
      <c r="H19" s="361">
        <f t="shared" ref="H19:R19" si="20">H16</f>
        <v>9.4418650543018512E-2</v>
      </c>
      <c r="I19" s="361">
        <f t="shared" si="20"/>
        <v>0.11171038353228083</v>
      </c>
      <c r="J19" s="361">
        <f t="shared" si="20"/>
        <v>0.12575896583875065</v>
      </c>
      <c r="K19" s="361">
        <f t="shared" si="20"/>
        <v>0.1438493057688654</v>
      </c>
      <c r="L19" s="361">
        <f t="shared" si="20"/>
        <v>0.16801867561183156</v>
      </c>
      <c r="M19" s="361">
        <f t="shared" si="20"/>
        <v>0.20195005667391752</v>
      </c>
      <c r="N19" s="361">
        <f t="shared" si="20"/>
        <v>0.25305440889104974</v>
      </c>
      <c r="O19" s="361">
        <f t="shared" si="20"/>
        <v>0.33878559817904985</v>
      </c>
      <c r="P19" s="361">
        <f t="shared" si="20"/>
        <v>0.51236875247431379</v>
      </c>
      <c r="Q19" s="361">
        <f t="shared" si="20"/>
        <v>0.56038930244841034</v>
      </c>
      <c r="R19" s="361">
        <f t="shared" si="20"/>
        <v>0.99999999999999745</v>
      </c>
      <c r="S19" s="399"/>
    </row>
    <row r="20" spans="1:19" x14ac:dyDescent="0.3">
      <c r="A20" s="716"/>
      <c r="B20" s="358" t="s">
        <v>418</v>
      </c>
      <c r="C20" s="356" t="s">
        <v>415</v>
      </c>
      <c r="D20" s="357">
        <f>SUM(G20:R20)</f>
        <v>21378.582705381454</v>
      </c>
      <c r="E20" s="357"/>
      <c r="F20" s="360">
        <f t="shared" ref="F20:R20" si="21">F18*F19</f>
        <v>1366.6172946185425</v>
      </c>
      <c r="G20" s="360">
        <f t="shared" si="21"/>
        <v>1723.2690360404306</v>
      </c>
      <c r="H20" s="360">
        <f t="shared" si="21"/>
        <v>1855.8281926589254</v>
      </c>
      <c r="I20" s="360">
        <f t="shared" si="21"/>
        <v>1988.3873492774198</v>
      </c>
      <c r="J20" s="360">
        <f t="shared" si="21"/>
        <v>1988.3873492774196</v>
      </c>
      <c r="K20" s="360">
        <f t="shared" si="21"/>
        <v>1988.3873492774196</v>
      </c>
      <c r="L20" s="360">
        <f t="shared" si="21"/>
        <v>1988.3873492774196</v>
      </c>
      <c r="M20" s="360">
        <f t="shared" si="21"/>
        <v>1988.3873492774196</v>
      </c>
      <c r="N20" s="360">
        <f t="shared" si="21"/>
        <v>1988.3873492774198</v>
      </c>
      <c r="O20" s="360">
        <f t="shared" si="21"/>
        <v>1988.3873492774194</v>
      </c>
      <c r="P20" s="360">
        <f t="shared" si="21"/>
        <v>1988.3873492774194</v>
      </c>
      <c r="Q20" s="360">
        <f t="shared" si="21"/>
        <v>1060.4732529479572</v>
      </c>
      <c r="R20" s="360">
        <f t="shared" si="21"/>
        <v>831.91342951478248</v>
      </c>
      <c r="S20" s="398"/>
    </row>
    <row r="21" spans="1:19" ht="15" thickBot="1" x14ac:dyDescent="0.35">
      <c r="A21" s="716"/>
      <c r="B21" s="358" t="s">
        <v>419</v>
      </c>
      <c r="C21" s="356" t="s">
        <v>415</v>
      </c>
      <c r="D21" s="357"/>
      <c r="E21" s="357"/>
      <c r="F21" s="360">
        <f t="shared" ref="F21:R21" si="22">F18-F20</f>
        <v>17632.182705381456</v>
      </c>
      <c r="G21" s="360">
        <f t="shared" si="22"/>
        <v>19655.313669341027</v>
      </c>
      <c r="H21" s="360">
        <f t="shared" si="22"/>
        <v>17799.485476682101</v>
      </c>
      <c r="I21" s="360">
        <f t="shared" si="22"/>
        <v>15811.098127404681</v>
      </c>
      <c r="J21" s="360">
        <f t="shared" si="22"/>
        <v>13822.710778127261</v>
      </c>
      <c r="K21" s="360">
        <f t="shared" si="22"/>
        <v>11834.323428849841</v>
      </c>
      <c r="L21" s="360">
        <f t="shared" si="22"/>
        <v>9845.9360795724206</v>
      </c>
      <c r="M21" s="360">
        <f t="shared" si="22"/>
        <v>7857.5487302950005</v>
      </c>
      <c r="N21" s="360">
        <f t="shared" si="22"/>
        <v>5869.1613810175804</v>
      </c>
      <c r="O21" s="360">
        <f t="shared" si="22"/>
        <v>3880.7740317401613</v>
      </c>
      <c r="P21" s="360">
        <f t="shared" si="22"/>
        <v>1892.3866824627419</v>
      </c>
      <c r="Q21" s="360">
        <f t="shared" si="22"/>
        <v>831.91342951478464</v>
      </c>
      <c r="R21" s="360">
        <f t="shared" si="22"/>
        <v>2.1600499167107046E-12</v>
      </c>
      <c r="S21" s="398"/>
    </row>
    <row r="22" spans="1:19" x14ac:dyDescent="0.3">
      <c r="A22" s="391"/>
      <c r="B22" s="392" t="str">
        <f>'[4]В1_ФЭМ 3,4, новая ИТОГ'!B59</f>
        <v>Содержание</v>
      </c>
      <c r="C22" s="406" t="s">
        <v>229</v>
      </c>
      <c r="D22" s="393">
        <f>'ФЭМ 1.5'!D22</f>
        <v>16057.532999999999</v>
      </c>
      <c r="E22" s="393"/>
      <c r="F22" s="393">
        <f>D22</f>
        <v>16057.532999999999</v>
      </c>
      <c r="G22" s="393">
        <f>F22-F23</f>
        <v>14807.532999999999</v>
      </c>
      <c r="H22" s="393">
        <f t="shared" ref="H22" si="23">G22-G23</f>
        <v>13507.532999999999</v>
      </c>
      <c r="I22" s="393">
        <f t="shared" ref="I22" si="24">H22-H23</f>
        <v>12107.532999999999</v>
      </c>
      <c r="J22" s="393">
        <f t="shared" ref="J22" si="25">I22-I23</f>
        <v>10607.532999999999</v>
      </c>
      <c r="K22" s="393">
        <f t="shared" ref="K22" si="26">J22-J23</f>
        <v>9107.5329999999994</v>
      </c>
      <c r="L22" s="393">
        <f t="shared" ref="L22" si="27">K22-K23</f>
        <v>7607.5329999999994</v>
      </c>
      <c r="M22" s="393">
        <f t="shared" ref="M22" si="28">L22-L23</f>
        <v>6107.5329999999994</v>
      </c>
      <c r="N22" s="393">
        <f t="shared" ref="N22" si="29">M22-M23</f>
        <v>4607.5329999999994</v>
      </c>
      <c r="O22" s="393">
        <f t="shared" ref="O22" si="30">N22-N23</f>
        <v>3107.5329999999994</v>
      </c>
      <c r="P22" s="393">
        <f t="shared" ref="P22" si="31">O22-O23</f>
        <v>1607.5329999999994</v>
      </c>
      <c r="Q22" s="393">
        <f t="shared" ref="Q22" si="32">P22-P23</f>
        <v>607.53299999999945</v>
      </c>
      <c r="R22" s="393"/>
      <c r="S22" s="393"/>
    </row>
    <row r="23" spans="1:19" x14ac:dyDescent="0.3">
      <c r="A23" s="407"/>
      <c r="B23" s="395" t="s">
        <v>433</v>
      </c>
      <c r="C23" s="356" t="s">
        <v>229</v>
      </c>
      <c r="D23" s="370">
        <f>'[4]В3_ФЭМ РТ2,ЮВ,Основ'!D28</f>
        <v>3056.0024192589908</v>
      </c>
      <c r="E23" s="370"/>
      <c r="F23" s="370">
        <f>'ФЭМ 1.5'!F22</f>
        <v>1250</v>
      </c>
      <c r="G23" s="370">
        <f>'ФЭМ 1.5'!G22</f>
        <v>1300</v>
      </c>
      <c r="H23" s="370">
        <f>'ФЭМ 1.5'!H22</f>
        <v>1400</v>
      </c>
      <c r="I23" s="370">
        <f>'ФЭМ 1.5'!I22</f>
        <v>1500</v>
      </c>
      <c r="J23" s="370">
        <f>'ФЭМ 1.5'!J22</f>
        <v>1500</v>
      </c>
      <c r="K23" s="370">
        <f>'ФЭМ 1.5'!K22</f>
        <v>1500</v>
      </c>
      <c r="L23" s="370">
        <f>'ФЭМ 1.5'!L22</f>
        <v>1500</v>
      </c>
      <c r="M23" s="370">
        <f>'ФЭМ 1.5'!M22</f>
        <v>1500</v>
      </c>
      <c r="N23" s="370">
        <f>'ФЭМ 1.5'!N22</f>
        <v>1500</v>
      </c>
      <c r="O23" s="370">
        <f>'ФЭМ 1.5'!O22</f>
        <v>1500</v>
      </c>
      <c r="P23" s="370">
        <f>'ФЭМ 1.5'!P22</f>
        <v>1000</v>
      </c>
      <c r="Q23" s="370">
        <f>'ФЭМ 1.5'!Q22</f>
        <v>607.53300000000002</v>
      </c>
      <c r="R23" s="370"/>
      <c r="S23" s="370"/>
    </row>
    <row r="24" spans="1:19" x14ac:dyDescent="0.3">
      <c r="A24" s="407"/>
      <c r="B24" s="395" t="s">
        <v>434</v>
      </c>
      <c r="C24" s="356" t="s">
        <v>2</v>
      </c>
      <c r="D24" s="369"/>
      <c r="E24" s="369"/>
      <c r="F24" s="555">
        <f>F23/F22</f>
        <v>7.7845083675057686E-2</v>
      </c>
      <c r="G24" s="555">
        <f t="shared" ref="G24:Q24" si="33">G23/G22</f>
        <v>8.7793152309706149E-2</v>
      </c>
      <c r="H24" s="555">
        <f t="shared" si="33"/>
        <v>0.1036458693086295</v>
      </c>
      <c r="I24" s="555">
        <f t="shared" si="33"/>
        <v>0.12388981306100921</v>
      </c>
      <c r="J24" s="555">
        <f t="shared" si="33"/>
        <v>0.14140894023143741</v>
      </c>
      <c r="K24" s="555">
        <f t="shared" si="33"/>
        <v>0.16469882678437731</v>
      </c>
      <c r="L24" s="555">
        <f t="shared" si="33"/>
        <v>0.19717298630186686</v>
      </c>
      <c r="M24" s="555">
        <f t="shared" si="33"/>
        <v>0.24559834551855883</v>
      </c>
      <c r="N24" s="555">
        <f t="shared" si="33"/>
        <v>0.32555382674416011</v>
      </c>
      <c r="O24" s="555">
        <f t="shared" si="33"/>
        <v>0.4826980115738112</v>
      </c>
      <c r="P24" s="555">
        <f t="shared" si="33"/>
        <v>0.62207121097980589</v>
      </c>
      <c r="Q24" s="555">
        <f t="shared" si="33"/>
        <v>1.0000000000000009</v>
      </c>
      <c r="R24" s="397"/>
      <c r="S24" s="416"/>
    </row>
    <row r="25" spans="1:19" x14ac:dyDescent="0.3">
      <c r="A25" s="716" t="s">
        <v>437</v>
      </c>
      <c r="B25" s="355" t="s">
        <v>438</v>
      </c>
      <c r="C25" s="356" t="s">
        <v>415</v>
      </c>
      <c r="D25" s="357">
        <f>SUM(F25:R25)</f>
        <v>22745.199999999997</v>
      </c>
      <c r="E25" s="357"/>
      <c r="F25" s="356">
        <f>календари!F48*'И. Д.'!H85</f>
        <v>18998.8</v>
      </c>
      <c r="G25" s="356">
        <f>календари!G48*'И. Д.'!H85</f>
        <v>3746.3999999999996</v>
      </c>
      <c r="H25" s="356"/>
      <c r="I25" s="356"/>
      <c r="J25" s="356"/>
      <c r="K25" s="356"/>
      <c r="L25" s="356"/>
      <c r="M25" s="356"/>
      <c r="N25" s="356"/>
      <c r="O25" s="356"/>
      <c r="P25" s="356"/>
      <c r="Q25" s="356"/>
      <c r="R25" s="356"/>
      <c r="S25" s="416"/>
    </row>
    <row r="26" spans="1:19" x14ac:dyDescent="0.3">
      <c r="A26" s="716"/>
      <c r="B26" s="358" t="s">
        <v>416</v>
      </c>
      <c r="C26" s="356" t="s">
        <v>415</v>
      </c>
      <c r="D26" s="359"/>
      <c r="E26" s="359"/>
      <c r="F26" s="360">
        <f>F25</f>
        <v>18998.8</v>
      </c>
      <c r="G26" s="360">
        <f>F29+G25</f>
        <v>21266.23682427431</v>
      </c>
      <c r="H26" s="360">
        <f t="shared" ref="H26" si="34">G29+H25</f>
        <v>19399.206855706514</v>
      </c>
      <c r="I26" s="360">
        <f t="shared" ref="I26" si="35">H29+I25</f>
        <v>17388.559197248887</v>
      </c>
      <c r="J26" s="360">
        <f t="shared" ref="J26" si="36">I29+J25</f>
        <v>15234.29384890143</v>
      </c>
      <c r="K26" s="360">
        <f t="shared" ref="K26" si="37">J29+K25</f>
        <v>13080.028500553974</v>
      </c>
      <c r="L26" s="360">
        <f t="shared" ref="L26" si="38">K29+L25</f>
        <v>10925.763152206517</v>
      </c>
      <c r="M26" s="360">
        <f t="shared" ref="M26" si="39">L29+M25</f>
        <v>8771.4978038590598</v>
      </c>
      <c r="N26" s="360">
        <f t="shared" ref="N26" si="40">M29+N25</f>
        <v>6617.2324555116029</v>
      </c>
      <c r="O26" s="360">
        <f t="shared" ref="O26" si="41">N29+O25</f>
        <v>4462.967107164146</v>
      </c>
      <c r="P26" s="360">
        <f>O29+P25</f>
        <v>2308.7017588166882</v>
      </c>
      <c r="Q26" s="356">
        <f>P29+Q25</f>
        <v>872.5248599183833</v>
      </c>
      <c r="R26" s="356"/>
      <c r="S26" s="398"/>
    </row>
    <row r="27" spans="1:19" x14ac:dyDescent="0.3">
      <c r="A27" s="716"/>
      <c r="B27" s="358" t="s">
        <v>417</v>
      </c>
      <c r="C27" s="356" t="s">
        <v>415</v>
      </c>
      <c r="D27" s="361"/>
      <c r="E27" s="361"/>
      <c r="F27" s="361">
        <f>F24</f>
        <v>7.7845083675057686E-2</v>
      </c>
      <c r="G27" s="361">
        <f>G24</f>
        <v>8.7793152309706149E-2</v>
      </c>
      <c r="H27" s="361">
        <f t="shared" ref="H27:Q27" si="42">H24</f>
        <v>0.1036458693086295</v>
      </c>
      <c r="I27" s="361">
        <f t="shared" si="42"/>
        <v>0.12388981306100921</v>
      </c>
      <c r="J27" s="361">
        <f t="shared" si="42"/>
        <v>0.14140894023143741</v>
      </c>
      <c r="K27" s="361">
        <f t="shared" si="42"/>
        <v>0.16469882678437731</v>
      </c>
      <c r="L27" s="361">
        <f t="shared" si="42"/>
        <v>0.19717298630186686</v>
      </c>
      <c r="M27" s="361">
        <f t="shared" si="42"/>
        <v>0.24559834551855883</v>
      </c>
      <c r="N27" s="361">
        <f t="shared" si="42"/>
        <v>0.32555382674416011</v>
      </c>
      <c r="O27" s="361">
        <f t="shared" si="42"/>
        <v>0.4826980115738112</v>
      </c>
      <c r="P27" s="361">
        <f t="shared" si="42"/>
        <v>0.62207121097980589</v>
      </c>
      <c r="Q27" s="361">
        <f t="shared" si="42"/>
        <v>1.0000000000000009</v>
      </c>
      <c r="R27" s="361"/>
      <c r="S27" s="399"/>
    </row>
    <row r="28" spans="1:19" x14ac:dyDescent="0.3">
      <c r="A28" s="716"/>
      <c r="B28" s="358" t="s">
        <v>418</v>
      </c>
      <c r="C28" s="356" t="s">
        <v>415</v>
      </c>
      <c r="D28" s="357">
        <f>SUM(G28:R28)</f>
        <v>21266.23682427431</v>
      </c>
      <c r="E28" s="357"/>
      <c r="F28" s="360">
        <f t="shared" ref="F28:Q28" si="43">F26*F27</f>
        <v>1478.9631757256859</v>
      </c>
      <c r="G28" s="360">
        <f t="shared" si="43"/>
        <v>1867.0299685677962</v>
      </c>
      <c r="H28" s="360">
        <f t="shared" si="43"/>
        <v>2010.6476584576267</v>
      </c>
      <c r="I28" s="360">
        <f t="shared" si="43"/>
        <v>2154.2653483474569</v>
      </c>
      <c r="J28" s="360">
        <f t="shared" si="43"/>
        <v>2154.2653483474569</v>
      </c>
      <c r="K28" s="360">
        <f t="shared" si="43"/>
        <v>2154.2653483474573</v>
      </c>
      <c r="L28" s="360">
        <f t="shared" si="43"/>
        <v>2154.2653483474573</v>
      </c>
      <c r="M28" s="360">
        <f t="shared" si="43"/>
        <v>2154.2653483474573</v>
      </c>
      <c r="N28" s="360">
        <f t="shared" si="43"/>
        <v>2154.2653483474573</v>
      </c>
      <c r="O28" s="360">
        <f t="shared" si="43"/>
        <v>2154.2653483474578</v>
      </c>
      <c r="P28" s="360">
        <f t="shared" si="43"/>
        <v>1436.1768988983049</v>
      </c>
      <c r="Q28" s="360">
        <f t="shared" si="43"/>
        <v>872.5248599183841</v>
      </c>
      <c r="R28" s="356"/>
      <c r="S28" s="398"/>
    </row>
    <row r="29" spans="1:19" x14ac:dyDescent="0.3">
      <c r="A29" s="716"/>
      <c r="B29" s="358" t="s">
        <v>419</v>
      </c>
      <c r="C29" s="356" t="s">
        <v>415</v>
      </c>
      <c r="D29" s="357"/>
      <c r="E29" s="357"/>
      <c r="F29" s="360">
        <f t="shared" ref="F29:Q29" si="44">F26-F28</f>
        <v>17519.836824274313</v>
      </c>
      <c r="G29" s="360">
        <f t="shared" si="44"/>
        <v>19399.206855706514</v>
      </c>
      <c r="H29" s="360">
        <f t="shared" si="44"/>
        <v>17388.559197248887</v>
      </c>
      <c r="I29" s="360">
        <f t="shared" si="44"/>
        <v>15234.29384890143</v>
      </c>
      <c r="J29" s="360">
        <f t="shared" si="44"/>
        <v>13080.028500553974</v>
      </c>
      <c r="K29" s="360">
        <f t="shared" si="44"/>
        <v>10925.763152206517</v>
      </c>
      <c r="L29" s="360">
        <f t="shared" si="44"/>
        <v>8771.4978038590598</v>
      </c>
      <c r="M29" s="360">
        <f t="shared" si="44"/>
        <v>6617.2324555116029</v>
      </c>
      <c r="N29" s="360">
        <f t="shared" si="44"/>
        <v>4462.967107164146</v>
      </c>
      <c r="O29" s="360">
        <f t="shared" si="44"/>
        <v>2308.7017588166882</v>
      </c>
      <c r="P29" s="360">
        <f t="shared" si="44"/>
        <v>872.5248599183833</v>
      </c>
      <c r="Q29" s="360">
        <f t="shared" si="44"/>
        <v>0</v>
      </c>
      <c r="R29" s="356"/>
      <c r="S29" s="398"/>
    </row>
  </sheetData>
  <mergeCells count="8">
    <mergeCell ref="A17:A21"/>
    <mergeCell ref="A25:A29"/>
    <mergeCell ref="F3:S3"/>
    <mergeCell ref="A3:A5"/>
    <mergeCell ref="B3:B5"/>
    <mergeCell ref="C3:C5"/>
    <mergeCell ref="D3:D5"/>
    <mergeCell ref="A9:A1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76"/>
  <sheetViews>
    <sheetView workbookViewId="0">
      <selection activeCell="I62" sqref="I62"/>
    </sheetView>
  </sheetViews>
  <sheetFormatPr defaultColWidth="8.88671875" defaultRowHeight="14.4" x14ac:dyDescent="0.3"/>
  <cols>
    <col min="1" max="1" width="20.33203125" style="423" customWidth="1"/>
    <col min="2" max="2" width="44.88671875" style="423" customWidth="1"/>
    <col min="3" max="3" width="11.44140625" style="422" customWidth="1"/>
    <col min="4" max="4" width="15.6640625" style="423" customWidth="1"/>
    <col min="5" max="5" width="12.88671875" style="423" customWidth="1"/>
    <col min="6" max="8" width="12.6640625" style="423" customWidth="1"/>
    <col min="9" max="9" width="11.109375" style="423" customWidth="1"/>
    <col min="10" max="14" width="10" style="423" customWidth="1"/>
    <col min="15" max="15" width="12.109375" style="423" customWidth="1"/>
    <col min="16" max="19" width="10" style="423" customWidth="1"/>
    <col min="20" max="20" width="10.6640625" style="423" customWidth="1"/>
    <col min="21" max="21" width="14.6640625" style="423" hidden="1" customWidth="1"/>
    <col min="22" max="22" width="9.5546875" style="423" hidden="1" customWidth="1"/>
    <col min="23" max="16384" width="8.88671875" style="423"/>
  </cols>
  <sheetData>
    <row r="2" spans="1:21" ht="15.6" x14ac:dyDescent="0.3">
      <c r="A2" s="420"/>
      <c r="B2" s="421"/>
      <c r="E2" s="424"/>
      <c r="F2" s="425"/>
      <c r="G2" s="425"/>
      <c r="H2" s="425"/>
      <c r="I2" s="424"/>
      <c r="J2" s="424"/>
      <c r="K2" s="425"/>
      <c r="L2" s="425"/>
      <c r="M2" s="424"/>
      <c r="N2" s="424"/>
      <c r="O2" s="424"/>
      <c r="P2" s="424"/>
      <c r="Q2" s="424"/>
      <c r="R2" s="425"/>
      <c r="T2" s="426">
        <v>400</v>
      </c>
      <c r="U2" s="427" t="s">
        <v>269</v>
      </c>
    </row>
    <row r="3" spans="1:21" ht="15.6" x14ac:dyDescent="0.3">
      <c r="A3" s="428" t="s">
        <v>490</v>
      </c>
      <c r="B3" s="429"/>
    </row>
    <row r="4" spans="1:21" ht="15.6" x14ac:dyDescent="0.3">
      <c r="B4" s="423" t="s">
        <v>474</v>
      </c>
      <c r="E4" s="430">
        <v>1</v>
      </c>
      <c r="F4" s="430">
        <v>2</v>
      </c>
      <c r="G4" s="430"/>
      <c r="H4" s="430">
        <v>3</v>
      </c>
      <c r="I4" s="430">
        <v>4</v>
      </c>
      <c r="J4" s="430">
        <v>5</v>
      </c>
      <c r="K4" s="430">
        <v>6</v>
      </c>
      <c r="L4" s="430">
        <v>7</v>
      </c>
      <c r="M4" s="430">
        <v>8</v>
      </c>
      <c r="N4" s="430">
        <v>9</v>
      </c>
      <c r="O4" s="430">
        <v>10</v>
      </c>
      <c r="P4" s="430">
        <v>11</v>
      </c>
      <c r="Q4" s="430">
        <v>12</v>
      </c>
      <c r="R4" s="430">
        <v>13</v>
      </c>
      <c r="S4" s="430">
        <v>14</v>
      </c>
    </row>
    <row r="5" spans="1:21" ht="15.6" x14ac:dyDescent="0.3">
      <c r="A5" s="728"/>
      <c r="B5" s="730" t="s">
        <v>443</v>
      </c>
      <c r="C5" s="720" t="s">
        <v>444</v>
      </c>
      <c r="D5" s="720" t="s">
        <v>445</v>
      </c>
      <c r="E5" s="431" t="s">
        <v>446</v>
      </c>
      <c r="F5" s="432"/>
      <c r="G5" s="432"/>
      <c r="H5" s="432"/>
      <c r="I5" s="432"/>
      <c r="J5" s="432"/>
      <c r="K5" s="432"/>
      <c r="L5" s="432"/>
      <c r="M5" s="432"/>
      <c r="N5" s="432"/>
      <c r="O5" s="432"/>
      <c r="P5" s="432"/>
      <c r="Q5" s="432"/>
      <c r="R5" s="432"/>
      <c r="S5" s="432"/>
      <c r="T5" s="721" t="s">
        <v>447</v>
      </c>
    </row>
    <row r="6" spans="1:21" s="435" customFormat="1" ht="15.6" x14ac:dyDescent="0.3">
      <c r="A6" s="729"/>
      <c r="B6" s="731"/>
      <c r="C6" s="720"/>
      <c r="D6" s="720"/>
      <c r="E6" s="433">
        <v>2022</v>
      </c>
      <c r="F6" s="434">
        <v>2023</v>
      </c>
      <c r="G6" s="434"/>
      <c r="H6" s="433">
        <v>2024</v>
      </c>
      <c r="I6" s="434">
        <v>2025</v>
      </c>
      <c r="J6" s="433">
        <v>2026</v>
      </c>
      <c r="K6" s="434">
        <v>2027</v>
      </c>
      <c r="L6" s="433">
        <v>2028</v>
      </c>
      <c r="M6" s="434">
        <v>2029</v>
      </c>
      <c r="N6" s="433">
        <v>2030</v>
      </c>
      <c r="O6" s="434">
        <v>2031</v>
      </c>
      <c r="P6" s="433">
        <v>2032</v>
      </c>
      <c r="Q6" s="434">
        <v>2033</v>
      </c>
      <c r="R6" s="433">
        <v>2034</v>
      </c>
      <c r="S6" s="434">
        <v>2035</v>
      </c>
      <c r="T6" s="722"/>
    </row>
    <row r="7" spans="1:21" ht="15.6" x14ac:dyDescent="0.25">
      <c r="A7" s="436"/>
      <c r="B7" s="437">
        <v>1</v>
      </c>
      <c r="C7" s="438">
        <v>2</v>
      </c>
      <c r="D7" s="438">
        <v>3</v>
      </c>
      <c r="E7" s="438">
        <v>4</v>
      </c>
      <c r="F7" s="438">
        <v>5</v>
      </c>
      <c r="G7" s="438"/>
      <c r="H7" s="438">
        <v>6</v>
      </c>
      <c r="I7" s="438">
        <v>7</v>
      </c>
      <c r="J7" s="438">
        <v>8</v>
      </c>
      <c r="K7" s="438">
        <v>9</v>
      </c>
      <c r="L7" s="438">
        <v>10</v>
      </c>
      <c r="M7" s="438">
        <v>11</v>
      </c>
      <c r="N7" s="438">
        <v>12</v>
      </c>
      <c r="O7" s="438">
        <v>13</v>
      </c>
      <c r="P7" s="438">
        <v>14</v>
      </c>
      <c r="Q7" s="438">
        <v>15</v>
      </c>
      <c r="R7" s="438">
        <v>16</v>
      </c>
      <c r="S7" s="438">
        <v>17</v>
      </c>
      <c r="T7" s="722"/>
    </row>
    <row r="8" spans="1:21" ht="15.6" x14ac:dyDescent="0.3">
      <c r="A8" s="439" t="s">
        <v>448</v>
      </c>
      <c r="B8" s="440"/>
      <c r="C8" s="441"/>
      <c r="D8" s="442"/>
      <c r="E8" s="442"/>
      <c r="F8" s="442"/>
      <c r="G8" s="442"/>
      <c r="H8" s="442"/>
      <c r="I8" s="442"/>
      <c r="J8" s="442"/>
      <c r="K8" s="442"/>
      <c r="L8" s="442"/>
      <c r="M8" s="442"/>
      <c r="N8" s="442"/>
      <c r="O8" s="442"/>
      <c r="P8" s="442"/>
      <c r="Q8" s="442"/>
      <c r="R8" s="442"/>
      <c r="S8" s="442"/>
      <c r="T8" s="443"/>
    </row>
    <row r="9" spans="1:21" ht="15.6" x14ac:dyDescent="0.3">
      <c r="A9" s="497" t="s">
        <v>449</v>
      </c>
      <c r="B9" s="461" t="s">
        <v>450</v>
      </c>
      <c r="C9" s="441"/>
      <c r="D9" s="446"/>
      <c r="E9" s="447"/>
      <c r="F9" s="447"/>
      <c r="G9" s="447"/>
      <c r="H9" s="447"/>
      <c r="I9" s="447"/>
      <c r="J9" s="447"/>
      <c r="K9" s="447"/>
      <c r="L9" s="447"/>
      <c r="M9" s="447"/>
      <c r="N9" s="447"/>
      <c r="O9" s="447"/>
      <c r="P9" s="447"/>
      <c r="Q9" s="447"/>
      <c r="R9" s="447"/>
      <c r="S9" s="447"/>
      <c r="T9" s="443"/>
    </row>
    <row r="10" spans="1:21" ht="15.6" x14ac:dyDescent="0.3">
      <c r="A10" s="448"/>
      <c r="B10" s="449" t="s">
        <v>451</v>
      </c>
      <c r="C10" s="450" t="s">
        <v>452</v>
      </c>
      <c r="D10" s="451"/>
      <c r="E10" s="452">
        <f>'[5]Гр.замены (КГЦМ)'!D14</f>
        <v>1</v>
      </c>
      <c r="F10" s="452">
        <f>'[5]Гр.замены (КГЦМ)'!E14</f>
        <v>1</v>
      </c>
      <c r="G10" s="452"/>
      <c r="H10" s="452">
        <f>'[5]Гр.замены (КГЦМ)'!F14</f>
        <v>1</v>
      </c>
      <c r="I10" s="452">
        <f>'[5]Гр.замены (КГЦМ)'!G14</f>
        <v>1</v>
      </c>
      <c r="J10" s="452">
        <f>'[5]Гр.замены (КГЦМ)'!H14</f>
        <v>1</v>
      </c>
      <c r="K10" s="452">
        <f>'[5]Гр.замены (КГЦМ)'!I14</f>
        <v>1</v>
      </c>
      <c r="L10" s="452">
        <f>'[5]Гр.замены (КГЦМ)'!J14</f>
        <v>1</v>
      </c>
      <c r="M10" s="452">
        <f>'[5]Гр.замены (КГЦМ)'!K14</f>
        <v>1</v>
      </c>
      <c r="N10" s="452">
        <f>'[5]Гр.замены (КГЦМ)'!L14</f>
        <v>1</v>
      </c>
      <c r="O10" s="452">
        <f>'[5]Гр.замены (КГЦМ)'!M14</f>
        <v>1</v>
      </c>
      <c r="P10" s="452">
        <f>'[5]Гр.замены (КГЦМ)'!N14</f>
        <v>1</v>
      </c>
      <c r="Q10" s="452">
        <f>'[5]Гр.замены (КГЦМ)'!O14</f>
        <v>1</v>
      </c>
      <c r="R10" s="452">
        <f>'[5]Гр.замены (КГЦМ)'!P14</f>
        <v>0</v>
      </c>
      <c r="S10" s="452">
        <f>'[5]Гр.замены (КГЦМ)'!Q14</f>
        <v>0</v>
      </c>
      <c r="T10" s="443"/>
    </row>
    <row r="11" spans="1:21" ht="15.6" x14ac:dyDescent="0.3">
      <c r="A11" s="448"/>
      <c r="B11" s="449" t="s">
        <v>453</v>
      </c>
      <c r="C11" s="450" t="s">
        <v>452</v>
      </c>
      <c r="D11" s="443"/>
      <c r="E11" s="453">
        <f>'[5]Гр.замены (КГЦМ)'!D15</f>
        <v>0</v>
      </c>
      <c r="F11" s="453">
        <f>'[5]Гр.замены (КГЦМ)'!E15</f>
        <v>1</v>
      </c>
      <c r="G11" s="453"/>
      <c r="H11" s="453">
        <f>'[5]Гр.замены (КГЦМ)'!F15</f>
        <v>1</v>
      </c>
      <c r="I11" s="453">
        <f>'[5]Гр.замены (КГЦМ)'!G15</f>
        <v>1</v>
      </c>
      <c r="J11" s="453">
        <f>'[5]Гр.замены (КГЦМ)'!H15</f>
        <v>1</v>
      </c>
      <c r="K11" s="453">
        <f>'[5]Гр.замены (КГЦМ)'!I15</f>
        <v>1</v>
      </c>
      <c r="L11" s="453">
        <f>'[5]Гр.замены (КГЦМ)'!J15</f>
        <v>1</v>
      </c>
      <c r="M11" s="453">
        <f>'[5]Гр.замены (КГЦМ)'!K15</f>
        <v>1</v>
      </c>
      <c r="N11" s="453">
        <f>'[5]Гр.замены (КГЦМ)'!L15</f>
        <v>1</v>
      </c>
      <c r="O11" s="453">
        <f>'[5]Гр.замены (КГЦМ)'!M15</f>
        <v>1</v>
      </c>
      <c r="P11" s="453">
        <f>'[5]Гр.замены (КГЦМ)'!N15</f>
        <v>1</v>
      </c>
      <c r="Q11" s="453">
        <f>'[5]Гр.замены (КГЦМ)'!O15</f>
        <v>1</v>
      </c>
      <c r="R11" s="453">
        <f>'[5]Гр.замены (КГЦМ)'!P15</f>
        <v>0</v>
      </c>
      <c r="S11" s="453">
        <f>'[5]Гр.замены (КГЦМ)'!Q15</f>
        <v>0</v>
      </c>
      <c r="T11" s="443"/>
    </row>
    <row r="12" spans="1:21" ht="15.6" x14ac:dyDescent="0.3">
      <c r="A12" s="454"/>
      <c r="B12" s="455" t="s">
        <v>454</v>
      </c>
      <c r="C12" s="456" t="s">
        <v>455</v>
      </c>
      <c r="D12" s="457">
        <f>'[6]46104020_К9'!$G$23/1000</f>
        <v>316.53578999999996</v>
      </c>
      <c r="E12" s="458">
        <f t="shared" ref="E12:S12" si="0">$D12*E11</f>
        <v>0</v>
      </c>
      <c r="F12" s="458">
        <f t="shared" si="0"/>
        <v>316.53578999999996</v>
      </c>
      <c r="G12" s="458"/>
      <c r="H12" s="458">
        <f t="shared" si="0"/>
        <v>316.53578999999996</v>
      </c>
      <c r="I12" s="458">
        <f t="shared" si="0"/>
        <v>316.53578999999996</v>
      </c>
      <c r="J12" s="458">
        <f t="shared" si="0"/>
        <v>316.53578999999996</v>
      </c>
      <c r="K12" s="458">
        <f t="shared" si="0"/>
        <v>316.53578999999996</v>
      </c>
      <c r="L12" s="458">
        <f t="shared" si="0"/>
        <v>316.53578999999996</v>
      </c>
      <c r="M12" s="458">
        <f t="shared" si="0"/>
        <v>316.53578999999996</v>
      </c>
      <c r="N12" s="458">
        <f t="shared" si="0"/>
        <v>316.53578999999996</v>
      </c>
      <c r="O12" s="458">
        <f t="shared" si="0"/>
        <v>316.53578999999996</v>
      </c>
      <c r="P12" s="458">
        <f t="shared" si="0"/>
        <v>316.53578999999996</v>
      </c>
      <c r="Q12" s="458">
        <f t="shared" si="0"/>
        <v>316.53578999999996</v>
      </c>
      <c r="R12" s="458">
        <f t="shared" si="0"/>
        <v>0</v>
      </c>
      <c r="S12" s="458">
        <f t="shared" si="0"/>
        <v>0</v>
      </c>
      <c r="T12" s="459">
        <f>SUM(E12:S12)</f>
        <v>3481.8936899999994</v>
      </c>
    </row>
    <row r="13" spans="1:21" ht="15.6" x14ac:dyDescent="0.3">
      <c r="A13" s="497" t="s">
        <v>449</v>
      </c>
      <c r="B13" s="461" t="s">
        <v>456</v>
      </c>
      <c r="C13" s="441"/>
      <c r="D13" s="446"/>
      <c r="E13" s="447"/>
      <c r="F13" s="447"/>
      <c r="G13" s="447"/>
      <c r="H13" s="447"/>
      <c r="I13" s="447"/>
      <c r="J13" s="447"/>
      <c r="K13" s="447"/>
      <c r="L13" s="447"/>
      <c r="M13" s="447"/>
      <c r="N13" s="447"/>
      <c r="O13" s="447"/>
      <c r="P13" s="447"/>
      <c r="Q13" s="447"/>
      <c r="R13" s="447"/>
      <c r="S13" s="447"/>
      <c r="T13" s="443"/>
    </row>
    <row r="14" spans="1:21" ht="15.6" x14ac:dyDescent="0.3">
      <c r="A14" s="498"/>
      <c r="B14" s="449" t="s">
        <v>451</v>
      </c>
      <c r="C14" s="450" t="s">
        <v>452</v>
      </c>
      <c r="D14" s="451"/>
      <c r="E14" s="452">
        <f>'[5]Гр.замены (КГЦМ)'!D18</f>
        <v>2</v>
      </c>
      <c r="F14" s="452">
        <f>'[5]Гр.замены (КГЦМ)'!E18</f>
        <v>2</v>
      </c>
      <c r="G14" s="452"/>
      <c r="H14" s="452">
        <f>'[5]Гр.замены (КГЦМ)'!F18</f>
        <v>2</v>
      </c>
      <c r="I14" s="452">
        <f>'[5]Гр.замены (КГЦМ)'!G18</f>
        <v>2</v>
      </c>
      <c r="J14" s="452">
        <f>'[5]Гр.замены (КГЦМ)'!H18</f>
        <v>2</v>
      </c>
      <c r="K14" s="452">
        <f>'[5]Гр.замены (КГЦМ)'!I18</f>
        <v>2</v>
      </c>
      <c r="L14" s="452">
        <f>'[5]Гр.замены (КГЦМ)'!J18</f>
        <v>2</v>
      </c>
      <c r="M14" s="452">
        <f>'[5]Гр.замены (КГЦМ)'!K18</f>
        <v>2</v>
      </c>
      <c r="N14" s="452">
        <f>'[5]Гр.замены (КГЦМ)'!L18</f>
        <v>2</v>
      </c>
      <c r="O14" s="452">
        <f>'[5]Гр.замены (КГЦМ)'!M18</f>
        <v>2</v>
      </c>
      <c r="P14" s="452">
        <f>'[5]Гр.замены (КГЦМ)'!N18</f>
        <v>2</v>
      </c>
      <c r="Q14" s="452">
        <f>'[5]Гр.замены (КГЦМ)'!O18</f>
        <v>1</v>
      </c>
      <c r="R14" s="452">
        <f>'[5]Гр.замены (КГЦМ)'!P18</f>
        <v>0</v>
      </c>
      <c r="S14" s="452">
        <f>'[5]Гр.замены (КГЦМ)'!Q18</f>
        <v>0</v>
      </c>
      <c r="T14" s="443"/>
    </row>
    <row r="15" spans="1:21" ht="15.6" x14ac:dyDescent="0.3">
      <c r="A15" s="448"/>
      <c r="B15" s="449" t="s">
        <v>453</v>
      </c>
      <c r="C15" s="450" t="s">
        <v>452</v>
      </c>
      <c r="D15" s="443"/>
      <c r="E15" s="453">
        <f>'[5]Гр.замены (КГЦМ)'!D19</f>
        <v>0</v>
      </c>
      <c r="F15" s="453">
        <f>'[5]Гр.замены (КГЦМ)'!E19</f>
        <v>2</v>
      </c>
      <c r="G15" s="453"/>
      <c r="H15" s="453">
        <f>'[5]Гр.замены (КГЦМ)'!F19</f>
        <v>2</v>
      </c>
      <c r="I15" s="453">
        <f>'[5]Гр.замены (КГЦМ)'!G19</f>
        <v>2</v>
      </c>
      <c r="J15" s="453">
        <f>'[5]Гр.замены (КГЦМ)'!H19</f>
        <v>2</v>
      </c>
      <c r="K15" s="453">
        <f>'[5]Гр.замены (КГЦМ)'!I19</f>
        <v>2</v>
      </c>
      <c r="L15" s="453">
        <f>'[5]Гр.замены (КГЦМ)'!J19</f>
        <v>2</v>
      </c>
      <c r="M15" s="453">
        <f>'[5]Гр.замены (КГЦМ)'!K19</f>
        <v>2</v>
      </c>
      <c r="N15" s="453">
        <f>'[5]Гр.замены (КГЦМ)'!L19</f>
        <v>2</v>
      </c>
      <c r="O15" s="453">
        <f>'[5]Гр.замены (КГЦМ)'!M19</f>
        <v>2</v>
      </c>
      <c r="P15" s="453">
        <f>'[5]Гр.замены (КГЦМ)'!N19</f>
        <v>2</v>
      </c>
      <c r="Q15" s="453">
        <f>'[5]Гр.замены (КГЦМ)'!O19</f>
        <v>1</v>
      </c>
      <c r="R15" s="453">
        <f>'[5]Гр.замены (КГЦМ)'!P19</f>
        <v>0</v>
      </c>
      <c r="S15" s="453">
        <f>'[5]Гр.замены (КГЦМ)'!Q19</f>
        <v>0</v>
      </c>
      <c r="T15" s="443"/>
    </row>
    <row r="16" spans="1:21" ht="15.6" x14ac:dyDescent="0.3">
      <c r="A16" s="454"/>
      <c r="B16" s="455" t="s">
        <v>454</v>
      </c>
      <c r="C16" s="456" t="s">
        <v>455</v>
      </c>
      <c r="D16" s="457">
        <f>'[6]46104020_К9'!$G$27/1000</f>
        <v>221.51657999999998</v>
      </c>
      <c r="E16" s="458">
        <f t="shared" ref="E16:S16" si="1">$D16*E15</f>
        <v>0</v>
      </c>
      <c r="F16" s="458">
        <f t="shared" si="1"/>
        <v>443.03315999999995</v>
      </c>
      <c r="G16" s="458"/>
      <c r="H16" s="458">
        <f t="shared" si="1"/>
        <v>443.03315999999995</v>
      </c>
      <c r="I16" s="458">
        <f t="shared" si="1"/>
        <v>443.03315999999995</v>
      </c>
      <c r="J16" s="458">
        <f t="shared" si="1"/>
        <v>443.03315999999995</v>
      </c>
      <c r="K16" s="458">
        <f t="shared" si="1"/>
        <v>443.03315999999995</v>
      </c>
      <c r="L16" s="458">
        <f t="shared" si="1"/>
        <v>443.03315999999995</v>
      </c>
      <c r="M16" s="458">
        <f t="shared" si="1"/>
        <v>443.03315999999995</v>
      </c>
      <c r="N16" s="458">
        <f t="shared" si="1"/>
        <v>443.03315999999995</v>
      </c>
      <c r="O16" s="458">
        <f t="shared" si="1"/>
        <v>443.03315999999995</v>
      </c>
      <c r="P16" s="458">
        <f t="shared" si="1"/>
        <v>443.03315999999995</v>
      </c>
      <c r="Q16" s="458">
        <f t="shared" si="1"/>
        <v>221.51657999999998</v>
      </c>
      <c r="R16" s="458">
        <f t="shared" si="1"/>
        <v>0</v>
      </c>
      <c r="S16" s="458">
        <f t="shared" si="1"/>
        <v>0</v>
      </c>
      <c r="T16" s="459">
        <f>SUM(E16:S16)</f>
        <v>4651.848179999999</v>
      </c>
    </row>
    <row r="17" spans="1:22" ht="15.6" x14ac:dyDescent="0.3">
      <c r="A17" s="723" t="s">
        <v>457</v>
      </c>
      <c r="B17" s="499" t="s">
        <v>458</v>
      </c>
      <c r="C17" s="441"/>
      <c r="D17" s="446"/>
      <c r="E17" s="447"/>
      <c r="F17" s="447"/>
      <c r="G17" s="447"/>
      <c r="H17" s="447"/>
      <c r="I17" s="447"/>
      <c r="J17" s="447"/>
      <c r="K17" s="447"/>
      <c r="L17" s="447"/>
      <c r="M17" s="447"/>
      <c r="N17" s="447"/>
      <c r="O17" s="447"/>
      <c r="P17" s="447"/>
      <c r="Q17" s="447"/>
      <c r="R17" s="447"/>
      <c r="S17" s="447"/>
      <c r="T17" s="443"/>
    </row>
    <row r="18" spans="1:22" ht="15.6" x14ac:dyDescent="0.3">
      <c r="A18" s="724"/>
      <c r="B18" s="449" t="s">
        <v>451</v>
      </c>
      <c r="C18" s="450" t="s">
        <v>452</v>
      </c>
      <c r="D18" s="451"/>
      <c r="E18" s="452">
        <f>'[5]Гр.замены (КГЦМ)'!D24</f>
        <v>1</v>
      </c>
      <c r="F18" s="452">
        <f>'[5]Гр.замены (КГЦМ)'!E24</f>
        <v>2</v>
      </c>
      <c r="G18" s="452"/>
      <c r="H18" s="452">
        <f>'[5]Гр.замены (КГЦМ)'!F24</f>
        <v>3</v>
      </c>
      <c r="I18" s="452">
        <f>'[5]Гр.замены (КГЦМ)'!G24</f>
        <v>3</v>
      </c>
      <c r="J18" s="452">
        <f>'[5]Гр.замены (КГЦМ)'!H24</f>
        <v>3</v>
      </c>
      <c r="K18" s="452">
        <f>'[5]Гр.замены (КГЦМ)'!I24</f>
        <v>3</v>
      </c>
      <c r="L18" s="452">
        <f>'[5]Гр.замены (КГЦМ)'!J24</f>
        <v>4</v>
      </c>
      <c r="M18" s="452">
        <f>'[5]Гр.замены (КГЦМ)'!K24</f>
        <v>4</v>
      </c>
      <c r="N18" s="452">
        <f>'[5]Гр.замены (КГЦМ)'!L24</f>
        <v>4</v>
      </c>
      <c r="O18" s="452">
        <f>'[5]Гр.замены (КГЦМ)'!M24</f>
        <v>4</v>
      </c>
      <c r="P18" s="452">
        <f>'[5]Гр.замены (КГЦМ)'!N24</f>
        <v>3</v>
      </c>
      <c r="Q18" s="452">
        <f>'[5]Гр.замены (КГЦМ)'!O24</f>
        <v>2</v>
      </c>
      <c r="R18" s="452">
        <f>'[5]Гр.замены (КГЦМ)'!P24</f>
        <v>1</v>
      </c>
      <c r="S18" s="452">
        <f>'[5]Гр.замены (КГЦМ)'!Q24</f>
        <v>1</v>
      </c>
      <c r="T18" s="443"/>
    </row>
    <row r="19" spans="1:22" ht="15.6" x14ac:dyDescent="0.3">
      <c r="A19" s="724"/>
      <c r="B19" s="449" t="s">
        <v>453</v>
      </c>
      <c r="C19" s="450" t="s">
        <v>452</v>
      </c>
      <c r="D19" s="443"/>
      <c r="E19" s="453">
        <f>'[5]Гр.замены (КГЦМ)'!D25</f>
        <v>0</v>
      </c>
      <c r="F19" s="453">
        <f>'[5]Гр.замены (КГЦМ)'!E25</f>
        <v>0</v>
      </c>
      <c r="G19" s="453"/>
      <c r="H19" s="453">
        <f>'[5]Гр.замены (КГЦМ)'!F25</f>
        <v>0</v>
      </c>
      <c r="I19" s="453">
        <f>'[5]Гр.замены (КГЦМ)'!G25</f>
        <v>1</v>
      </c>
      <c r="J19" s="453">
        <f>'[5]Гр.замены (КГЦМ)'!H25</f>
        <v>0</v>
      </c>
      <c r="K19" s="453">
        <f>'[5]Гр.замены (КГЦМ)'!I25</f>
        <v>1</v>
      </c>
      <c r="L19" s="453">
        <f>'[5]Гр.замены (КГЦМ)'!J25</f>
        <v>0</v>
      </c>
      <c r="M19" s="453">
        <f>'[5]Гр.замены (КГЦМ)'!K25</f>
        <v>1</v>
      </c>
      <c r="N19" s="453">
        <f>'[5]Гр.замены (КГЦМ)'!L25</f>
        <v>1</v>
      </c>
      <c r="O19" s="453">
        <f>'[5]Гр.замены (КГЦМ)'!M25</f>
        <v>1</v>
      </c>
      <c r="P19" s="453">
        <f>'[5]Гр.замены (КГЦМ)'!N25</f>
        <v>0</v>
      </c>
      <c r="Q19" s="453">
        <f>'[5]Гр.замены (КГЦМ)'!O25</f>
        <v>1</v>
      </c>
      <c r="R19" s="453">
        <f>'[5]Гр.замены (КГЦМ)'!P25</f>
        <v>0</v>
      </c>
      <c r="S19" s="453">
        <f>'[5]Гр.замены (КГЦМ)'!Q25</f>
        <v>0</v>
      </c>
      <c r="T19" s="443"/>
    </row>
    <row r="20" spans="1:22" ht="15.6" x14ac:dyDescent="0.3">
      <c r="A20" s="454"/>
      <c r="B20" s="455" t="s">
        <v>454</v>
      </c>
      <c r="C20" s="456" t="s">
        <v>455</v>
      </c>
      <c r="D20" s="457">
        <f>'[6]46104020_К9'!$G$35/1000</f>
        <v>38982.239999999998</v>
      </c>
      <c r="E20" s="458">
        <f t="shared" ref="E20:S20" si="2">$D20*E19</f>
        <v>0</v>
      </c>
      <c r="F20" s="458">
        <f t="shared" si="2"/>
        <v>0</v>
      </c>
      <c r="G20" s="458"/>
      <c r="H20" s="458">
        <f t="shared" si="2"/>
        <v>0</v>
      </c>
      <c r="I20" s="458">
        <f t="shared" si="2"/>
        <v>38982.239999999998</v>
      </c>
      <c r="J20" s="458">
        <f t="shared" si="2"/>
        <v>0</v>
      </c>
      <c r="K20" s="458">
        <f t="shared" si="2"/>
        <v>38982.239999999998</v>
      </c>
      <c r="L20" s="458">
        <f t="shared" si="2"/>
        <v>0</v>
      </c>
      <c r="M20" s="458">
        <f t="shared" si="2"/>
        <v>38982.239999999998</v>
      </c>
      <c r="N20" s="458">
        <f t="shared" si="2"/>
        <v>38982.239999999998</v>
      </c>
      <c r="O20" s="458">
        <f t="shared" si="2"/>
        <v>38982.239999999998</v>
      </c>
      <c r="P20" s="458">
        <f t="shared" si="2"/>
        <v>0</v>
      </c>
      <c r="Q20" s="458">
        <f t="shared" si="2"/>
        <v>38982.239999999998</v>
      </c>
      <c r="R20" s="458">
        <f t="shared" si="2"/>
        <v>0</v>
      </c>
      <c r="S20" s="458">
        <f t="shared" si="2"/>
        <v>0</v>
      </c>
      <c r="T20" s="459">
        <f>SUM(E20:S20)</f>
        <v>233893.43999999997</v>
      </c>
    </row>
    <row r="21" spans="1:22" ht="15.6" x14ac:dyDescent="0.3">
      <c r="A21" s="723" t="s">
        <v>459</v>
      </c>
      <c r="B21" s="500" t="s">
        <v>460</v>
      </c>
      <c r="C21" s="441"/>
      <c r="D21" s="446"/>
      <c r="E21" s="447"/>
      <c r="F21" s="447"/>
      <c r="G21" s="447"/>
      <c r="H21" s="447"/>
      <c r="I21" s="447"/>
      <c r="J21" s="447"/>
      <c r="K21" s="447"/>
      <c r="L21" s="447"/>
      <c r="M21" s="447"/>
      <c r="N21" s="447"/>
      <c r="O21" s="447"/>
      <c r="P21" s="447"/>
      <c r="Q21" s="447"/>
      <c r="R21" s="447"/>
      <c r="S21" s="447"/>
      <c r="T21" s="443"/>
    </row>
    <row r="22" spans="1:22" ht="15.6" x14ac:dyDescent="0.3">
      <c r="A22" s="724"/>
      <c r="B22" s="449" t="s">
        <v>451</v>
      </c>
      <c r="C22" s="450" t="s">
        <v>452</v>
      </c>
      <c r="D22" s="451"/>
      <c r="E22" s="452">
        <f>'[5]Гр.замены (КГЦМ)'!D35</f>
        <v>0</v>
      </c>
      <c r="F22" s="452">
        <f>'[5]Гр.замены (КГЦМ)'!E35</f>
        <v>0</v>
      </c>
      <c r="G22" s="452"/>
      <c r="H22" s="452">
        <f>'[5]Гр.замены (КГЦМ)'!F35</f>
        <v>1</v>
      </c>
      <c r="I22" s="452">
        <f>'[5]Гр.замены (КГЦМ)'!G35</f>
        <v>1</v>
      </c>
      <c r="J22" s="452">
        <f>'[5]Гр.замены (КГЦМ)'!H35</f>
        <v>1</v>
      </c>
      <c r="K22" s="452">
        <f>'[5]Гр.замены (КГЦМ)'!I35</f>
        <v>1</v>
      </c>
      <c r="L22" s="452">
        <f>'[5]Гр.замены (КГЦМ)'!J35</f>
        <v>1</v>
      </c>
      <c r="M22" s="452">
        <f>'[5]Гр.замены (КГЦМ)'!K35</f>
        <v>1</v>
      </c>
      <c r="N22" s="452">
        <f>'[5]Гр.замены (КГЦМ)'!L35</f>
        <v>1</v>
      </c>
      <c r="O22" s="452">
        <f>'[5]Гр.замены (КГЦМ)'!M35</f>
        <v>1</v>
      </c>
      <c r="P22" s="452">
        <f>'[5]Гр.замены (КГЦМ)'!N35</f>
        <v>0</v>
      </c>
      <c r="Q22" s="452">
        <f>'[5]Гр.замены (КГЦМ)'!O35</f>
        <v>0</v>
      </c>
      <c r="R22" s="452">
        <f>'[5]Гр.замены (КГЦМ)'!P35</f>
        <v>0</v>
      </c>
      <c r="S22" s="452">
        <f>'[5]Гр.замены (КГЦМ)'!Q35</f>
        <v>0</v>
      </c>
      <c r="T22" s="443"/>
      <c r="U22" s="463"/>
      <c r="V22" s="423" t="s">
        <v>475</v>
      </c>
    </row>
    <row r="23" spans="1:22" ht="15.6" x14ac:dyDescent="0.3">
      <c r="A23" s="724"/>
      <c r="B23" s="449" t="s">
        <v>453</v>
      </c>
      <c r="C23" s="450" t="s">
        <v>452</v>
      </c>
      <c r="D23" s="443"/>
      <c r="E23" s="453">
        <f>'[5]Гр.замены (КГЦМ)'!D36</f>
        <v>0</v>
      </c>
      <c r="F23" s="453">
        <f>'[5]Гр.замены (КГЦМ)'!E36</f>
        <v>0</v>
      </c>
      <c r="G23" s="453"/>
      <c r="H23" s="453">
        <f>'[5]Гр.замены (КГЦМ)'!F36</f>
        <v>0</v>
      </c>
      <c r="I23" s="453">
        <f>'[5]Гр.замены (КГЦМ)'!G36</f>
        <v>0</v>
      </c>
      <c r="J23" s="453">
        <f>'[5]Гр.замены (КГЦМ)'!H36</f>
        <v>0</v>
      </c>
      <c r="K23" s="453">
        <f>'[5]Гр.замены (КГЦМ)'!I36</f>
        <v>0</v>
      </c>
      <c r="L23" s="453">
        <f>'[5]Гр.замены (КГЦМ)'!J36</f>
        <v>1</v>
      </c>
      <c r="M23" s="453">
        <f>'[5]Гр.замены (КГЦМ)'!K36</f>
        <v>0</v>
      </c>
      <c r="N23" s="453">
        <f>'[5]Гр.замены (КГЦМ)'!L36</f>
        <v>0</v>
      </c>
      <c r="O23" s="453">
        <f>'[5]Гр.замены (КГЦМ)'!M36</f>
        <v>0</v>
      </c>
      <c r="P23" s="453">
        <f>'[5]Гр.замены (КГЦМ)'!N36</f>
        <v>0</v>
      </c>
      <c r="Q23" s="453">
        <f>'[5]Гр.замены (КГЦМ)'!O36</f>
        <v>0</v>
      </c>
      <c r="R23" s="453">
        <f>'[5]Гр.замены (КГЦМ)'!P36</f>
        <v>0</v>
      </c>
      <c r="S23" s="453">
        <f>'[5]Гр.замены (КГЦМ)'!Q36</f>
        <v>0</v>
      </c>
      <c r="T23" s="443"/>
    </row>
    <row r="24" spans="1:22" ht="15.6" x14ac:dyDescent="0.3">
      <c r="A24" s="454"/>
      <c r="B24" s="455" t="s">
        <v>454</v>
      </c>
      <c r="C24" s="456" t="s">
        <v>455</v>
      </c>
      <c r="D24" s="457">
        <f>$F$49/1000</f>
        <v>1371.7214648390795</v>
      </c>
      <c r="E24" s="458"/>
      <c r="F24" s="458">
        <f t="shared" ref="F24:S24" si="3">$D24*F23</f>
        <v>0</v>
      </c>
      <c r="G24" s="458"/>
      <c r="H24" s="458">
        <f t="shared" si="3"/>
        <v>0</v>
      </c>
      <c r="I24" s="458">
        <f t="shared" si="3"/>
        <v>0</v>
      </c>
      <c r="J24" s="458">
        <f t="shared" si="3"/>
        <v>0</v>
      </c>
      <c r="K24" s="458">
        <f t="shared" si="3"/>
        <v>0</v>
      </c>
      <c r="L24" s="458">
        <f t="shared" si="3"/>
        <v>1371.7214648390795</v>
      </c>
      <c r="M24" s="458">
        <f t="shared" si="3"/>
        <v>0</v>
      </c>
      <c r="N24" s="458">
        <f t="shared" si="3"/>
        <v>0</v>
      </c>
      <c r="O24" s="458">
        <f t="shared" si="3"/>
        <v>0</v>
      </c>
      <c r="P24" s="458">
        <f t="shared" si="3"/>
        <v>0</v>
      </c>
      <c r="Q24" s="458">
        <f t="shared" si="3"/>
        <v>0</v>
      </c>
      <c r="R24" s="458">
        <f t="shared" si="3"/>
        <v>0</v>
      </c>
      <c r="S24" s="458">
        <f t="shared" si="3"/>
        <v>0</v>
      </c>
      <c r="T24" s="459">
        <f>SUM(E24:S24)</f>
        <v>1371.7214648390795</v>
      </c>
    </row>
    <row r="25" spans="1:22" ht="15.6" x14ac:dyDescent="0.3">
      <c r="A25" s="723" t="s">
        <v>459</v>
      </c>
      <c r="B25" s="500" t="s">
        <v>461</v>
      </c>
      <c r="C25" s="441"/>
      <c r="D25" s="446"/>
      <c r="E25" s="447"/>
      <c r="F25" s="447"/>
      <c r="G25" s="447"/>
      <c r="H25" s="447"/>
      <c r="I25" s="447"/>
      <c r="J25" s="447"/>
      <c r="K25" s="447"/>
      <c r="L25" s="447"/>
      <c r="M25" s="447"/>
      <c r="N25" s="447"/>
      <c r="O25" s="447"/>
      <c r="P25" s="447"/>
      <c r="Q25" s="447"/>
      <c r="R25" s="447"/>
      <c r="S25" s="447"/>
      <c r="T25" s="443"/>
    </row>
    <row r="26" spans="1:22" ht="15.6" x14ac:dyDescent="0.3">
      <c r="A26" s="724"/>
      <c r="B26" s="449" t="s">
        <v>451</v>
      </c>
      <c r="C26" s="450" t="s">
        <v>452</v>
      </c>
      <c r="D26" s="451"/>
      <c r="E26" s="452">
        <f>'[5]Гр.замены (КГЦМ)'!D40</f>
        <v>0</v>
      </c>
      <c r="F26" s="452">
        <f>'[5]Гр.замены (КГЦМ)'!E40</f>
        <v>0</v>
      </c>
      <c r="G26" s="452"/>
      <c r="H26" s="452">
        <f>'[5]Гр.замены (КГЦМ)'!F40</f>
        <v>1</v>
      </c>
      <c r="I26" s="452">
        <f>'[5]Гр.замены (КГЦМ)'!G40</f>
        <v>1</v>
      </c>
      <c r="J26" s="452">
        <f>'[5]Гр.замены (КГЦМ)'!H40</f>
        <v>1</v>
      </c>
      <c r="K26" s="452">
        <f>'[5]Гр.замены (КГЦМ)'!I40</f>
        <v>1</v>
      </c>
      <c r="L26" s="452">
        <f>'[5]Гр.замены (КГЦМ)'!J40</f>
        <v>1</v>
      </c>
      <c r="M26" s="452">
        <f>'[5]Гр.замены (КГЦМ)'!K40</f>
        <v>1</v>
      </c>
      <c r="N26" s="452">
        <f>'[5]Гр.замены (КГЦМ)'!L40</f>
        <v>1</v>
      </c>
      <c r="O26" s="452">
        <f>'[5]Гр.замены (КГЦМ)'!M40</f>
        <v>1</v>
      </c>
      <c r="P26" s="452">
        <f>'[5]Гр.замены (КГЦМ)'!N40</f>
        <v>0</v>
      </c>
      <c r="Q26" s="452">
        <f>'[5]Гр.замены (КГЦМ)'!O40</f>
        <v>0</v>
      </c>
      <c r="R26" s="452">
        <f>'[5]Гр.замены (КГЦМ)'!P40</f>
        <v>0</v>
      </c>
      <c r="S26" s="452">
        <f>'[5]Гр.замены (КГЦМ)'!Q40</f>
        <v>0</v>
      </c>
      <c r="T26" s="443"/>
      <c r="U26" s="463"/>
      <c r="V26" s="423" t="s">
        <v>475</v>
      </c>
    </row>
    <row r="27" spans="1:22" ht="15.6" x14ac:dyDescent="0.3">
      <c r="A27" s="724"/>
      <c r="B27" s="449" t="s">
        <v>453</v>
      </c>
      <c r="C27" s="450" t="s">
        <v>452</v>
      </c>
      <c r="D27" s="443"/>
      <c r="E27" s="453">
        <f>'[5]Гр.замены (КГЦМ)'!D41</f>
        <v>0</v>
      </c>
      <c r="F27" s="453">
        <f>'[5]Гр.замены (КГЦМ)'!E41</f>
        <v>0</v>
      </c>
      <c r="G27" s="453"/>
      <c r="H27" s="453">
        <f>'[5]Гр.замены (КГЦМ)'!F41</f>
        <v>0</v>
      </c>
      <c r="I27" s="453">
        <f>'[5]Гр.замены (КГЦМ)'!G41</f>
        <v>0</v>
      </c>
      <c r="J27" s="453">
        <f>'[5]Гр.замены (КГЦМ)'!H41</f>
        <v>0</v>
      </c>
      <c r="K27" s="453">
        <f>'[5]Гр.замены (КГЦМ)'!I41</f>
        <v>0</v>
      </c>
      <c r="L27" s="453">
        <f>'[5]Гр.замены (КГЦМ)'!J41</f>
        <v>1</v>
      </c>
      <c r="M27" s="453">
        <f>'[5]Гр.замены (КГЦМ)'!K41</f>
        <v>0</v>
      </c>
      <c r="N27" s="453">
        <f>'[5]Гр.замены (КГЦМ)'!L41</f>
        <v>0</v>
      </c>
      <c r="O27" s="453">
        <f>'[5]Гр.замены (КГЦМ)'!M41</f>
        <v>0</v>
      </c>
      <c r="P27" s="453">
        <f>'[5]Гр.замены (КГЦМ)'!N41</f>
        <v>0</v>
      </c>
      <c r="Q27" s="453">
        <f>'[5]Гр.замены (КГЦМ)'!O41</f>
        <v>0</v>
      </c>
      <c r="R27" s="453">
        <f>'[5]Гр.замены (КГЦМ)'!P41</f>
        <v>0</v>
      </c>
      <c r="S27" s="453">
        <f>'[5]Гр.замены (КГЦМ)'!Q41</f>
        <v>0</v>
      </c>
      <c r="T27" s="443"/>
    </row>
    <row r="28" spans="1:22" ht="15.6" x14ac:dyDescent="0.3">
      <c r="A28" s="454"/>
      <c r="B28" s="455" t="s">
        <v>454</v>
      </c>
      <c r="C28" s="456" t="s">
        <v>455</v>
      </c>
      <c r="D28" s="457">
        <f>$F$47/1000</f>
        <v>827.24505102318528</v>
      </c>
      <c r="E28" s="458"/>
      <c r="F28" s="458">
        <f t="shared" ref="F28:S28" si="4">$D28*F27</f>
        <v>0</v>
      </c>
      <c r="G28" s="458"/>
      <c r="H28" s="458">
        <f t="shared" si="4"/>
        <v>0</v>
      </c>
      <c r="I28" s="458">
        <f t="shared" si="4"/>
        <v>0</v>
      </c>
      <c r="J28" s="458">
        <f t="shared" si="4"/>
        <v>0</v>
      </c>
      <c r="K28" s="458">
        <f t="shared" si="4"/>
        <v>0</v>
      </c>
      <c r="L28" s="458">
        <f t="shared" si="4"/>
        <v>827.24505102318528</v>
      </c>
      <c r="M28" s="458">
        <f t="shared" si="4"/>
        <v>0</v>
      </c>
      <c r="N28" s="458">
        <f t="shared" si="4"/>
        <v>0</v>
      </c>
      <c r="O28" s="458">
        <f t="shared" si="4"/>
        <v>0</v>
      </c>
      <c r="P28" s="458">
        <f t="shared" si="4"/>
        <v>0</v>
      </c>
      <c r="Q28" s="458">
        <f t="shared" si="4"/>
        <v>0</v>
      </c>
      <c r="R28" s="458">
        <f t="shared" si="4"/>
        <v>0</v>
      </c>
      <c r="S28" s="458">
        <f t="shared" si="4"/>
        <v>0</v>
      </c>
      <c r="T28" s="459">
        <f>SUM(E28:S28)</f>
        <v>827.24505102318528</v>
      </c>
    </row>
    <row r="29" spans="1:22" ht="15.6" x14ac:dyDescent="0.3">
      <c r="A29" s="501" t="s">
        <v>462</v>
      </c>
      <c r="B29" s="499" t="s">
        <v>463</v>
      </c>
      <c r="C29" s="441"/>
      <c r="D29" s="446"/>
      <c r="E29" s="447"/>
      <c r="F29" s="447"/>
      <c r="G29" s="447"/>
      <c r="H29" s="447"/>
      <c r="I29" s="447"/>
      <c r="J29" s="447"/>
      <c r="K29" s="447"/>
      <c r="L29" s="447"/>
      <c r="M29" s="447"/>
      <c r="N29" s="447"/>
      <c r="O29" s="447"/>
      <c r="P29" s="447"/>
      <c r="Q29" s="447"/>
      <c r="R29" s="447"/>
      <c r="S29" s="447"/>
      <c r="T29" s="443"/>
    </row>
    <row r="30" spans="1:22" ht="15.6" x14ac:dyDescent="0.3">
      <c r="A30" s="502"/>
      <c r="B30" s="449" t="s">
        <v>451</v>
      </c>
      <c r="C30" s="450" t="s">
        <v>452</v>
      </c>
      <c r="D30" s="451"/>
      <c r="E30" s="452">
        <f>'[5]Гр.замены (КГЦМ)'!D44</f>
        <v>1</v>
      </c>
      <c r="F30" s="452">
        <f>'[5]Гр.замены (КГЦМ)'!E44</f>
        <v>1</v>
      </c>
      <c r="G30" s="452"/>
      <c r="H30" s="452">
        <f>'[5]Гр.замены (КГЦМ)'!F44</f>
        <v>1</v>
      </c>
      <c r="I30" s="452">
        <f>'[5]Гр.замены (КГЦМ)'!G44</f>
        <v>1</v>
      </c>
      <c r="J30" s="452">
        <f>'[5]Гр.замены (КГЦМ)'!H44</f>
        <v>1</v>
      </c>
      <c r="K30" s="452">
        <f>'[5]Гр.замены (КГЦМ)'!I44</f>
        <v>1</v>
      </c>
      <c r="L30" s="452">
        <f>'[5]Гр.замены (КГЦМ)'!J44</f>
        <v>1</v>
      </c>
      <c r="M30" s="452">
        <f>'[5]Гр.замены (КГЦМ)'!K44</f>
        <v>1</v>
      </c>
      <c r="N30" s="452">
        <f>'[5]Гр.замены (КГЦМ)'!L44</f>
        <v>1</v>
      </c>
      <c r="O30" s="452">
        <f>'[5]Гр.замены (КГЦМ)'!M44</f>
        <v>1</v>
      </c>
      <c r="P30" s="452">
        <f>'[5]Гр.замены (КГЦМ)'!N44</f>
        <v>1</v>
      </c>
      <c r="Q30" s="452">
        <f>'[5]Гр.замены (КГЦМ)'!O44</f>
        <v>1</v>
      </c>
      <c r="R30" s="452">
        <f>'[5]Гр.замены (КГЦМ)'!P44</f>
        <v>0</v>
      </c>
      <c r="S30" s="452">
        <f>'[5]Гр.замены (КГЦМ)'!Q44</f>
        <v>0</v>
      </c>
      <c r="T30" s="443"/>
    </row>
    <row r="31" spans="1:22" ht="15.6" x14ac:dyDescent="0.3">
      <c r="A31" s="448"/>
      <c r="B31" s="449" t="s">
        <v>453</v>
      </c>
      <c r="C31" s="450" t="s">
        <v>452</v>
      </c>
      <c r="D31" s="443"/>
      <c r="E31" s="453">
        <f>'[5]Гр.замены (КГЦМ)'!D45</f>
        <v>0</v>
      </c>
      <c r="F31" s="453">
        <f>'[5]Гр.замены (КГЦМ)'!E45</f>
        <v>0</v>
      </c>
      <c r="G31" s="453"/>
      <c r="H31" s="453">
        <f>'[5]Гр.замены (КГЦМ)'!F45</f>
        <v>0</v>
      </c>
      <c r="I31" s="453">
        <f>'[5]Гр.замены (КГЦМ)'!G45</f>
        <v>0</v>
      </c>
      <c r="J31" s="453">
        <f>'[5]Гр.замены (КГЦМ)'!H45</f>
        <v>0</v>
      </c>
      <c r="K31" s="453">
        <f>'[5]Гр.замены (КГЦМ)'!I45</f>
        <v>1</v>
      </c>
      <c r="L31" s="453">
        <f>'[5]Гр.замены (КГЦМ)'!J45</f>
        <v>0</v>
      </c>
      <c r="M31" s="453">
        <f>'[5]Гр.замены (КГЦМ)'!K45</f>
        <v>0</v>
      </c>
      <c r="N31" s="453">
        <f>'[5]Гр.замены (КГЦМ)'!L45</f>
        <v>0</v>
      </c>
      <c r="O31" s="453">
        <f>'[5]Гр.замены (КГЦМ)'!M45</f>
        <v>0</v>
      </c>
      <c r="P31" s="453">
        <f>'[5]Гр.замены (КГЦМ)'!N45</f>
        <v>0</v>
      </c>
      <c r="Q31" s="453">
        <f>'[5]Гр.замены (КГЦМ)'!O45</f>
        <v>0</v>
      </c>
      <c r="R31" s="453">
        <f>'[5]Гр.замены (КГЦМ)'!P45</f>
        <v>0</v>
      </c>
      <c r="S31" s="453">
        <f>'[5]Гр.замены (КГЦМ)'!Q45</f>
        <v>0</v>
      </c>
      <c r="T31" s="443"/>
    </row>
    <row r="32" spans="1:22" ht="15.6" x14ac:dyDescent="0.3">
      <c r="A32" s="454"/>
      <c r="B32" s="455" t="s">
        <v>454</v>
      </c>
      <c r="C32" s="456" t="s">
        <v>455</v>
      </c>
      <c r="D32" s="457">
        <f>'[6]46104020_К9'!$G$31/1000</f>
        <v>369904.03464999999</v>
      </c>
      <c r="E32" s="458">
        <f t="shared" ref="E32:S32" si="5">$D32*E31</f>
        <v>0</v>
      </c>
      <c r="F32" s="458">
        <f t="shared" si="5"/>
        <v>0</v>
      </c>
      <c r="G32" s="458"/>
      <c r="H32" s="458">
        <f t="shared" si="5"/>
        <v>0</v>
      </c>
      <c r="I32" s="458">
        <f t="shared" si="5"/>
        <v>0</v>
      </c>
      <c r="J32" s="458">
        <f t="shared" si="5"/>
        <v>0</v>
      </c>
      <c r="K32" s="458">
        <f t="shared" si="5"/>
        <v>369904.03464999999</v>
      </c>
      <c r="L32" s="458">
        <f t="shared" si="5"/>
        <v>0</v>
      </c>
      <c r="M32" s="458">
        <f t="shared" si="5"/>
        <v>0</v>
      </c>
      <c r="N32" s="458">
        <f t="shared" si="5"/>
        <v>0</v>
      </c>
      <c r="O32" s="458">
        <f t="shared" si="5"/>
        <v>0</v>
      </c>
      <c r="P32" s="458">
        <f t="shared" si="5"/>
        <v>0</v>
      </c>
      <c r="Q32" s="458">
        <f t="shared" si="5"/>
        <v>0</v>
      </c>
      <c r="R32" s="458">
        <f t="shared" si="5"/>
        <v>0</v>
      </c>
      <c r="S32" s="458">
        <f t="shared" si="5"/>
        <v>0</v>
      </c>
      <c r="T32" s="459">
        <f>SUM(E32:S32)</f>
        <v>369904.03464999999</v>
      </c>
    </row>
    <row r="33" spans="1:22" ht="15.6" x14ac:dyDescent="0.3">
      <c r="A33" s="503"/>
      <c r="B33" s="504"/>
      <c r="C33" s="441"/>
      <c r="D33" s="446"/>
      <c r="E33" s="447"/>
      <c r="F33" s="447"/>
      <c r="G33" s="447"/>
      <c r="H33" s="447"/>
      <c r="I33" s="447"/>
      <c r="J33" s="447"/>
      <c r="K33" s="447"/>
      <c r="L33" s="447"/>
      <c r="M33" s="447"/>
      <c r="N33" s="447"/>
      <c r="O33" s="447"/>
      <c r="P33" s="447"/>
      <c r="Q33" s="447"/>
      <c r="R33" s="447"/>
      <c r="S33" s="447"/>
      <c r="T33" s="443"/>
    </row>
    <row r="34" spans="1:22" ht="15.6" x14ac:dyDescent="0.3">
      <c r="A34" s="505"/>
      <c r="B34" s="449"/>
      <c r="C34" s="450"/>
      <c r="D34" s="451"/>
      <c r="E34" s="452"/>
      <c r="F34" s="452"/>
      <c r="G34" s="452"/>
      <c r="H34" s="452"/>
      <c r="I34" s="452"/>
      <c r="J34" s="452"/>
      <c r="K34" s="452"/>
      <c r="L34" s="452"/>
      <c r="M34" s="452"/>
      <c r="N34" s="452"/>
      <c r="O34" s="452"/>
      <c r="P34" s="452"/>
      <c r="Q34" s="452"/>
      <c r="R34" s="452"/>
      <c r="S34" s="452"/>
      <c r="T34" s="443"/>
    </row>
    <row r="35" spans="1:22" ht="15.6" x14ac:dyDescent="0.3">
      <c r="A35" s="448"/>
      <c r="B35" s="449"/>
      <c r="C35" s="450"/>
      <c r="D35" s="443"/>
      <c r="E35" s="453"/>
      <c r="F35" s="453"/>
      <c r="G35" s="453"/>
      <c r="H35" s="453"/>
      <c r="I35" s="453"/>
      <c r="J35" s="453"/>
      <c r="K35" s="453"/>
      <c r="L35" s="453"/>
      <c r="M35" s="453"/>
      <c r="N35" s="453"/>
      <c r="O35" s="453"/>
      <c r="P35" s="453"/>
      <c r="Q35" s="453"/>
      <c r="R35" s="453"/>
      <c r="S35" s="453"/>
      <c r="T35" s="443"/>
    </row>
    <row r="36" spans="1:22" ht="15.6" x14ac:dyDescent="0.3">
      <c r="A36" s="454"/>
      <c r="B36" s="455"/>
      <c r="C36" s="456"/>
      <c r="D36" s="457"/>
      <c r="E36" s="458"/>
      <c r="F36" s="458"/>
      <c r="G36" s="458"/>
      <c r="H36" s="458"/>
      <c r="I36" s="458"/>
      <c r="J36" s="458"/>
      <c r="K36" s="458"/>
      <c r="L36" s="458"/>
      <c r="M36" s="458"/>
      <c r="N36" s="458"/>
      <c r="O36" s="458"/>
      <c r="P36" s="458"/>
      <c r="Q36" s="458"/>
      <c r="R36" s="458"/>
      <c r="S36" s="458"/>
      <c r="T36" s="459"/>
    </row>
    <row r="37" spans="1:22" x14ac:dyDescent="0.3">
      <c r="A37" s="468"/>
      <c r="B37" s="469"/>
      <c r="C37" s="441"/>
      <c r="D37" s="443"/>
      <c r="E37" s="447"/>
      <c r="F37" s="447"/>
      <c r="G37" s="725" t="s">
        <v>515</v>
      </c>
      <c r="H37" s="447"/>
      <c r="I37" s="447"/>
      <c r="J37" s="447"/>
      <c r="K37" s="447"/>
      <c r="L37" s="447"/>
      <c r="M37" s="447"/>
      <c r="N37" s="447"/>
      <c r="O37" s="447"/>
      <c r="P37" s="447"/>
      <c r="Q37" s="447"/>
      <c r="R37" s="447"/>
      <c r="S37" s="447"/>
      <c r="T37" s="447"/>
    </row>
    <row r="38" spans="1:22" x14ac:dyDescent="0.3">
      <c r="A38" s="470"/>
      <c r="B38" s="471" t="s">
        <v>476</v>
      </c>
      <c r="C38" s="441"/>
      <c r="D38" s="472"/>
      <c r="E38" s="473">
        <f>E12+E16+E20+E24+E28+E32+E36</f>
        <v>0</v>
      </c>
      <c r="F38" s="473">
        <f>F12+F16+F20+F24+F28+F32+F36</f>
        <v>759.56894999999986</v>
      </c>
      <c r="G38" s="726"/>
      <c r="H38" s="473">
        <f t="shared" ref="H38:S38" si="6">H12+H16+H20+H24+H28+H32+H36</f>
        <v>759.56894999999986</v>
      </c>
      <c r="I38" s="473">
        <f t="shared" si="6"/>
        <v>39741.808949999999</v>
      </c>
      <c r="J38" s="473">
        <f t="shared" si="6"/>
        <v>759.56894999999986</v>
      </c>
      <c r="K38" s="473">
        <f t="shared" si="6"/>
        <v>409645.84359999996</v>
      </c>
      <c r="L38" s="473">
        <f t="shared" si="6"/>
        <v>2958.5354658622646</v>
      </c>
      <c r="M38" s="473">
        <f t="shared" si="6"/>
        <v>39741.808949999999</v>
      </c>
      <c r="N38" s="473">
        <f t="shared" si="6"/>
        <v>39741.808949999999</v>
      </c>
      <c r="O38" s="473">
        <f t="shared" si="6"/>
        <v>39741.808949999999</v>
      </c>
      <c r="P38" s="473">
        <f t="shared" si="6"/>
        <v>759.56894999999986</v>
      </c>
      <c r="Q38" s="473">
        <f t="shared" si="6"/>
        <v>39520.292369999996</v>
      </c>
      <c r="R38" s="473">
        <f t="shared" si="6"/>
        <v>0</v>
      </c>
      <c r="S38" s="473">
        <f t="shared" si="6"/>
        <v>0</v>
      </c>
      <c r="T38" s="473">
        <f>T12+T16+T20+T24+T28+T32+T36</f>
        <v>614130.18303586217</v>
      </c>
      <c r="U38" s="474">
        <f>SUM(E38:S38)/1000</f>
        <v>614.13018303586216</v>
      </c>
      <c r="V38" s="475">
        <v>9574.1</v>
      </c>
    </row>
    <row r="39" spans="1:22" x14ac:dyDescent="0.3">
      <c r="A39" s="476"/>
      <c r="B39" s="477" t="s">
        <v>473</v>
      </c>
      <c r="C39" s="478"/>
      <c r="D39" s="479"/>
      <c r="E39" s="480">
        <f t="shared" ref="E39:T39" si="7">E38/$T$2</f>
        <v>0</v>
      </c>
      <c r="F39" s="480">
        <f t="shared" si="7"/>
        <v>1.8989223749999997</v>
      </c>
      <c r="G39" s="727"/>
      <c r="H39" s="480">
        <f t="shared" si="7"/>
        <v>1.8989223749999997</v>
      </c>
      <c r="I39" s="480">
        <f t="shared" si="7"/>
        <v>99.354522375000002</v>
      </c>
      <c r="J39" s="480">
        <f t="shared" si="7"/>
        <v>1.8989223749999997</v>
      </c>
      <c r="K39" s="480">
        <f t="shared" si="7"/>
        <v>1024.114609</v>
      </c>
      <c r="L39" s="480">
        <f t="shared" si="7"/>
        <v>7.3963386646556613</v>
      </c>
      <c r="M39" s="480">
        <f t="shared" si="7"/>
        <v>99.354522375000002</v>
      </c>
      <c r="N39" s="480">
        <f t="shared" si="7"/>
        <v>99.354522375000002</v>
      </c>
      <c r="O39" s="480">
        <f t="shared" si="7"/>
        <v>99.354522375000002</v>
      </c>
      <c r="P39" s="480">
        <f t="shared" si="7"/>
        <v>1.8989223749999997</v>
      </c>
      <c r="Q39" s="480">
        <f t="shared" si="7"/>
        <v>98.800730924999982</v>
      </c>
      <c r="R39" s="480">
        <f t="shared" si="7"/>
        <v>0</v>
      </c>
      <c r="S39" s="480">
        <f t="shared" si="7"/>
        <v>0</v>
      </c>
      <c r="T39" s="506">
        <f t="shared" si="7"/>
        <v>1535.3254575896553</v>
      </c>
      <c r="U39" s="482">
        <f>U38/T2</f>
        <v>1.5353254575896553</v>
      </c>
      <c r="V39" s="475">
        <v>20.370494242945007</v>
      </c>
    </row>
    <row r="41" spans="1:22" s="485" customFormat="1" ht="15.6" hidden="1" x14ac:dyDescent="0.25">
      <c r="A41" s="483" t="s">
        <v>448</v>
      </c>
      <c r="B41" s="484"/>
      <c r="E41" s="486">
        <f>E38</f>
        <v>0</v>
      </c>
      <c r="F41" s="486">
        <f t="shared" ref="F41:S41" si="8">F38</f>
        <v>759.56894999999986</v>
      </c>
      <c r="G41" s="486"/>
      <c r="H41" s="486">
        <f t="shared" si="8"/>
        <v>759.56894999999986</v>
      </c>
      <c r="I41" s="486">
        <f t="shared" si="8"/>
        <v>39741.808949999999</v>
      </c>
      <c r="J41" s="486">
        <f t="shared" si="8"/>
        <v>759.56894999999986</v>
      </c>
      <c r="K41" s="486">
        <f t="shared" si="8"/>
        <v>409645.84359999996</v>
      </c>
      <c r="L41" s="486">
        <f t="shared" si="8"/>
        <v>2958.5354658622646</v>
      </c>
      <c r="M41" s="486">
        <f t="shared" si="8"/>
        <v>39741.808949999999</v>
      </c>
      <c r="N41" s="486">
        <f t="shared" si="8"/>
        <v>39741.808949999999</v>
      </c>
      <c r="O41" s="486">
        <f t="shared" si="8"/>
        <v>39741.808949999999</v>
      </c>
      <c r="P41" s="486">
        <f t="shared" si="8"/>
        <v>759.56894999999986</v>
      </c>
      <c r="Q41" s="486">
        <f t="shared" si="8"/>
        <v>39520.292369999996</v>
      </c>
      <c r="R41" s="486">
        <f t="shared" si="8"/>
        <v>0</v>
      </c>
      <c r="S41" s="486">
        <f t="shared" si="8"/>
        <v>0</v>
      </c>
      <c r="T41" s="507"/>
    </row>
    <row r="42" spans="1:22" s="510" customFormat="1" ht="15.6" hidden="1" x14ac:dyDescent="0.25">
      <c r="A42" s="508"/>
      <c r="B42" s="509"/>
      <c r="E42" s="511"/>
      <c r="F42" s="511"/>
      <c r="G42" s="511"/>
      <c r="H42" s="511"/>
      <c r="I42" s="511"/>
      <c r="J42" s="511"/>
      <c r="K42" s="511"/>
      <c r="L42" s="511"/>
      <c r="M42" s="511"/>
      <c r="N42" s="511"/>
      <c r="O42" s="511"/>
      <c r="P42" s="511"/>
      <c r="Q42" s="511"/>
      <c r="R42" s="511"/>
      <c r="S42" s="511"/>
      <c r="T42" s="512"/>
    </row>
    <row r="43" spans="1:22" hidden="1" x14ac:dyDescent="0.3">
      <c r="E43" s="487"/>
      <c r="F43" s="487"/>
      <c r="G43" s="487"/>
      <c r="H43" s="487"/>
      <c r="I43" s="487"/>
      <c r="J43" s="487"/>
      <c r="K43" s="487"/>
      <c r="L43" s="487"/>
      <c r="M43" s="487"/>
      <c r="N43" s="487"/>
      <c r="O43" s="487"/>
      <c r="P43" s="487"/>
      <c r="Q43" s="487"/>
      <c r="R43" s="487"/>
      <c r="S43" s="487"/>
      <c r="T43" s="488"/>
    </row>
    <row r="44" spans="1:22" hidden="1" x14ac:dyDescent="0.3">
      <c r="A44" s="490"/>
      <c r="C44" s="423"/>
      <c r="D44" s="421" t="s">
        <v>477</v>
      </c>
      <c r="E44" s="491"/>
      <c r="F44" s="513" t="s">
        <v>478</v>
      </c>
      <c r="G44" s="513"/>
      <c r="H44" s="491"/>
      <c r="I44" s="491"/>
      <c r="J44" s="491"/>
      <c r="K44" s="491"/>
      <c r="L44" s="491"/>
      <c r="M44" s="491"/>
      <c r="N44" s="491"/>
      <c r="O44" s="491"/>
      <c r="P44" s="491"/>
      <c r="Q44" s="491"/>
      <c r="R44" s="491"/>
      <c r="S44" s="491"/>
      <c r="T44" s="488"/>
    </row>
    <row r="45" spans="1:22" hidden="1" x14ac:dyDescent="0.3">
      <c r="A45" s="490"/>
      <c r="B45" s="514" t="s">
        <v>479</v>
      </c>
      <c r="C45" s="422" t="s">
        <v>452</v>
      </c>
      <c r="D45" s="491">
        <f>'[7]38004350_К9'!$F$31</f>
        <v>33484098.210000001</v>
      </c>
      <c r="F45" s="515">
        <f>'[6]46104020_К9'!$G$35</f>
        <v>38982240</v>
      </c>
      <c r="G45" s="515"/>
      <c r="H45" s="491"/>
      <c r="I45" s="491"/>
      <c r="J45" s="491"/>
      <c r="K45" s="491"/>
      <c r="L45" s="491"/>
      <c r="M45" s="491"/>
      <c r="N45" s="491"/>
      <c r="O45" s="491"/>
      <c r="P45" s="491"/>
      <c r="Q45" s="491"/>
      <c r="R45" s="491"/>
      <c r="S45" s="491"/>
      <c r="T45" s="488"/>
    </row>
    <row r="46" spans="1:22" hidden="1" x14ac:dyDescent="0.3">
      <c r="B46" s="420" t="s">
        <v>480</v>
      </c>
      <c r="D46" s="487" t="s">
        <v>481</v>
      </c>
      <c r="E46" s="423" t="s">
        <v>482</v>
      </c>
      <c r="F46" s="491"/>
      <c r="G46" s="491"/>
      <c r="H46" s="487"/>
      <c r="I46" s="487"/>
      <c r="J46" s="487"/>
      <c r="K46" s="487"/>
      <c r="L46" s="487"/>
      <c r="M46" s="487"/>
      <c r="N46" s="487"/>
      <c r="O46" s="487"/>
      <c r="P46" s="487"/>
      <c r="Q46" s="487"/>
      <c r="R46" s="487"/>
      <c r="S46" s="487"/>
      <c r="T46" s="488"/>
    </row>
    <row r="47" spans="1:22" hidden="1" x14ac:dyDescent="0.3">
      <c r="A47" s="490"/>
      <c r="B47" s="514" t="s">
        <v>483</v>
      </c>
      <c r="C47" s="422" t="s">
        <v>452</v>
      </c>
      <c r="D47" s="491">
        <f>'[7]38004350_К9'!$F$33</f>
        <v>710568.57</v>
      </c>
      <c r="E47" s="516">
        <f>D47/D45</f>
        <v>2.1221075315917846E-2</v>
      </c>
      <c r="F47" s="491">
        <f>F45*E47</f>
        <v>827245.05102318525</v>
      </c>
      <c r="G47" s="491"/>
      <c r="H47" s="491" t="s">
        <v>484</v>
      </c>
      <c r="I47" s="517" t="s">
        <v>485</v>
      </c>
      <c r="J47" s="491"/>
      <c r="K47" s="491"/>
      <c r="L47" s="491"/>
      <c r="M47" s="491"/>
      <c r="N47" s="491"/>
      <c r="O47" s="518">
        <f>'[8]38004370_К9'!$F$23</f>
        <v>2545102820</v>
      </c>
      <c r="P47" s="491"/>
      <c r="Q47" s="491"/>
      <c r="R47" s="491"/>
      <c r="S47" s="491"/>
      <c r="T47" s="488"/>
    </row>
    <row r="48" spans="1:22" hidden="1" x14ac:dyDescent="0.3">
      <c r="A48" s="490"/>
      <c r="B48" s="519" t="s">
        <v>486</v>
      </c>
      <c r="D48" s="491" t="s">
        <v>481</v>
      </c>
      <c r="E48" s="423" t="s">
        <v>487</v>
      </c>
      <c r="F48" s="491"/>
      <c r="G48" s="491"/>
      <c r="H48" s="491"/>
      <c r="I48" s="491"/>
      <c r="J48" s="491"/>
      <c r="K48" s="491"/>
      <c r="L48" s="491"/>
      <c r="M48" s="491"/>
      <c r="N48" s="491"/>
      <c r="O48" s="491"/>
      <c r="P48" s="491"/>
      <c r="Q48" s="491"/>
      <c r="R48" s="491"/>
      <c r="S48" s="491"/>
      <c r="T48" s="488"/>
    </row>
    <row r="49" spans="1:21" x14ac:dyDescent="0.3">
      <c r="B49" s="520" t="s">
        <v>488</v>
      </c>
      <c r="C49" s="422" t="s">
        <v>452</v>
      </c>
      <c r="D49" s="491">
        <f>'[7]38004350_К9'!$F$35</f>
        <v>1178250.82</v>
      </c>
      <c r="E49" s="516">
        <f>D49/D45</f>
        <v>3.5188369494392309E-2</v>
      </c>
      <c r="F49" s="491">
        <f>F45*E49</f>
        <v>1371721.4648390797</v>
      </c>
      <c r="G49" s="491"/>
      <c r="H49" s="491" t="s">
        <v>484</v>
      </c>
      <c r="I49" s="487"/>
      <c r="J49" s="487"/>
      <c r="K49" s="487"/>
      <c r="L49" s="487"/>
      <c r="M49" s="487"/>
      <c r="N49" s="487"/>
      <c r="O49" s="487"/>
      <c r="P49" s="487"/>
      <c r="Q49" s="487"/>
      <c r="R49" s="487"/>
      <c r="S49" s="487"/>
      <c r="T49" s="488"/>
    </row>
    <row r="50" spans="1:21" x14ac:dyDescent="0.3">
      <c r="A50" s="490"/>
      <c r="B50" s="519" t="s">
        <v>489</v>
      </c>
      <c r="D50" s="491" t="s">
        <v>481</v>
      </c>
      <c r="F50" s="491"/>
      <c r="G50" s="491"/>
      <c r="H50" s="491"/>
      <c r="I50" s="491"/>
      <c r="J50" s="491"/>
      <c r="K50" s="491"/>
      <c r="L50" s="491"/>
      <c r="M50" s="491"/>
      <c r="N50" s="491"/>
      <c r="O50" s="491"/>
      <c r="P50" s="491"/>
      <c r="Q50" s="491"/>
      <c r="R50" s="491"/>
      <c r="S50" s="491"/>
      <c r="T50" s="488"/>
    </row>
    <row r="51" spans="1:21" x14ac:dyDescent="0.3">
      <c r="A51" s="490"/>
      <c r="B51" s="490"/>
      <c r="D51" s="518">
        <f>SUM(D47:D50)</f>
        <v>1888819.3900000001</v>
      </c>
      <c r="E51" s="491"/>
      <c r="F51" s="518">
        <f>SUM(F47:F50)</f>
        <v>2198966.5158622647</v>
      </c>
      <c r="G51" s="518"/>
      <c r="H51" s="491"/>
      <c r="I51" s="491"/>
      <c r="J51" s="491"/>
      <c r="K51" s="491"/>
      <c r="L51" s="491"/>
      <c r="M51" s="491"/>
      <c r="N51" s="491"/>
      <c r="O51" s="491"/>
      <c r="P51" s="491"/>
      <c r="Q51" s="491"/>
      <c r="R51" s="491"/>
      <c r="S51" s="491"/>
      <c r="T51" s="488"/>
    </row>
    <row r="52" spans="1:21" x14ac:dyDescent="0.3">
      <c r="E52" s="492"/>
      <c r="F52" s="492"/>
      <c r="G52" s="492"/>
      <c r="H52" s="492"/>
      <c r="I52" s="492"/>
      <c r="J52" s="492"/>
      <c r="K52" s="492"/>
      <c r="L52" s="492"/>
      <c r="M52" s="492"/>
      <c r="N52" s="492"/>
      <c r="O52" s="492"/>
      <c r="P52" s="492"/>
      <c r="Q52" s="492"/>
      <c r="R52" s="492"/>
      <c r="S52" s="492"/>
      <c r="T52" s="488"/>
    </row>
    <row r="53" spans="1:21" x14ac:dyDescent="0.3">
      <c r="T53" s="488"/>
    </row>
    <row r="54" spans="1:21" x14ac:dyDescent="0.3">
      <c r="E54" s="493"/>
      <c r="F54" s="493"/>
      <c r="G54" s="493"/>
      <c r="H54" s="493"/>
      <c r="I54" s="493"/>
      <c r="J54" s="493"/>
      <c r="K54" s="493"/>
      <c r="L54" s="493"/>
      <c r="M54" s="493"/>
      <c r="N54" s="493"/>
      <c r="O54" s="493"/>
      <c r="P54" s="493"/>
      <c r="Q54" s="493"/>
      <c r="R54" s="493"/>
      <c r="S54" s="493"/>
      <c r="T54" s="488"/>
    </row>
    <row r="56" spans="1:21" x14ac:dyDescent="0.3">
      <c r="A56" s="494"/>
      <c r="B56" s="494"/>
    </row>
    <row r="57" spans="1:21" x14ac:dyDescent="0.3">
      <c r="E57" s="487"/>
      <c r="F57" s="487"/>
      <c r="G57" s="487"/>
      <c r="H57" s="487"/>
      <c r="T57" s="487"/>
    </row>
    <row r="58" spans="1:21" x14ac:dyDescent="0.3">
      <c r="A58" s="490"/>
      <c r="B58" s="490"/>
      <c r="E58" s="495"/>
      <c r="F58" s="495"/>
      <c r="G58" s="495"/>
      <c r="H58" s="495"/>
      <c r="T58" s="487"/>
      <c r="U58" s="496"/>
    </row>
    <row r="59" spans="1:21" x14ac:dyDescent="0.3">
      <c r="A59" s="490"/>
      <c r="B59" s="490"/>
      <c r="T59" s="487"/>
      <c r="U59" s="496"/>
    </row>
    <row r="60" spans="1:21" x14ac:dyDescent="0.3">
      <c r="E60" s="487"/>
      <c r="F60" s="487"/>
      <c r="G60" s="487"/>
      <c r="H60" s="487"/>
      <c r="T60" s="487"/>
    </row>
    <row r="61" spans="1:21" x14ac:dyDescent="0.3">
      <c r="A61" s="490"/>
      <c r="B61" s="490"/>
      <c r="T61" s="487"/>
      <c r="U61" s="496"/>
    </row>
    <row r="62" spans="1:21" x14ac:dyDescent="0.3">
      <c r="A62" s="490"/>
      <c r="B62" s="490"/>
      <c r="T62" s="487"/>
      <c r="U62" s="496"/>
    </row>
    <row r="63" spans="1:21" x14ac:dyDescent="0.3">
      <c r="E63" s="487"/>
      <c r="F63" s="487"/>
      <c r="G63" s="487"/>
      <c r="H63" s="487"/>
      <c r="T63" s="487"/>
    </row>
    <row r="64" spans="1:21" x14ac:dyDescent="0.3">
      <c r="A64" s="490"/>
      <c r="B64" s="490"/>
      <c r="T64" s="487"/>
      <c r="U64" s="496"/>
    </row>
    <row r="65" spans="1:21" x14ac:dyDescent="0.3">
      <c r="A65" s="490"/>
      <c r="B65" s="490"/>
      <c r="E65" s="492"/>
      <c r="F65" s="492"/>
      <c r="G65" s="492"/>
      <c r="H65" s="492"/>
      <c r="T65" s="487"/>
      <c r="U65" s="496"/>
    </row>
    <row r="66" spans="1:21" x14ac:dyDescent="0.3">
      <c r="T66" s="487"/>
    </row>
    <row r="67" spans="1:21" x14ac:dyDescent="0.3">
      <c r="A67" s="490"/>
      <c r="B67" s="490"/>
      <c r="E67" s="493"/>
      <c r="F67" s="493"/>
      <c r="G67" s="493"/>
      <c r="H67" s="493"/>
      <c r="T67" s="487"/>
      <c r="U67" s="496"/>
    </row>
    <row r="68" spans="1:21" x14ac:dyDescent="0.3">
      <c r="A68" s="490"/>
      <c r="B68" s="490"/>
      <c r="T68" s="487"/>
    </row>
    <row r="69" spans="1:21" x14ac:dyDescent="0.3">
      <c r="T69" s="487"/>
      <c r="U69" s="496"/>
    </row>
    <row r="70" spans="1:21" x14ac:dyDescent="0.3">
      <c r="A70" s="490"/>
      <c r="B70" s="490"/>
      <c r="E70" s="487"/>
      <c r="F70" s="487"/>
      <c r="G70" s="487"/>
      <c r="H70" s="487"/>
      <c r="I70" s="487"/>
      <c r="J70" s="487"/>
      <c r="K70" s="487"/>
      <c r="L70" s="487"/>
      <c r="M70" s="487"/>
      <c r="N70" s="487"/>
      <c r="O70" s="487"/>
      <c r="P70" s="487"/>
      <c r="Q70" s="487"/>
      <c r="R70" s="487"/>
      <c r="S70" s="487"/>
      <c r="T70" s="487"/>
    </row>
    <row r="71" spans="1:21" x14ac:dyDescent="0.3">
      <c r="E71" s="487"/>
      <c r="F71" s="487"/>
      <c r="G71" s="487"/>
      <c r="H71" s="487"/>
      <c r="I71" s="487"/>
      <c r="J71" s="487"/>
      <c r="K71" s="487"/>
      <c r="L71" s="487"/>
      <c r="M71" s="487"/>
      <c r="N71" s="487"/>
      <c r="O71" s="487"/>
      <c r="P71" s="487"/>
      <c r="Q71" s="487"/>
      <c r="R71" s="487"/>
      <c r="S71" s="487"/>
      <c r="T71" s="487"/>
      <c r="U71" s="496"/>
    </row>
    <row r="72" spans="1:21" x14ac:dyDescent="0.3">
      <c r="E72" s="487"/>
      <c r="F72" s="487"/>
      <c r="G72" s="487"/>
      <c r="H72" s="487"/>
      <c r="I72" s="487"/>
      <c r="J72" s="487"/>
      <c r="K72" s="487"/>
      <c r="L72" s="487"/>
      <c r="M72" s="487"/>
      <c r="N72" s="487"/>
      <c r="O72" s="487"/>
      <c r="P72" s="487"/>
      <c r="Q72" s="487"/>
      <c r="R72" s="487"/>
      <c r="S72" s="487"/>
      <c r="T72" s="487"/>
    </row>
    <row r="73" spans="1:21" x14ac:dyDescent="0.3">
      <c r="E73" s="487"/>
      <c r="F73" s="487"/>
      <c r="G73" s="487"/>
      <c r="H73" s="487"/>
      <c r="I73" s="487"/>
      <c r="J73" s="487"/>
      <c r="K73" s="487"/>
      <c r="L73" s="487"/>
      <c r="M73" s="487"/>
      <c r="N73" s="487"/>
      <c r="O73" s="487"/>
      <c r="P73" s="487"/>
      <c r="Q73" s="487"/>
      <c r="R73" s="487"/>
      <c r="S73" s="487"/>
      <c r="T73" s="487"/>
      <c r="U73" s="496"/>
    </row>
    <row r="74" spans="1:21" x14ac:dyDescent="0.3">
      <c r="T74" s="487"/>
    </row>
    <row r="75" spans="1:21" x14ac:dyDescent="0.3">
      <c r="T75" s="487"/>
      <c r="U75" s="496"/>
    </row>
    <row r="76" spans="1:21" x14ac:dyDescent="0.3">
      <c r="T76" s="487"/>
    </row>
  </sheetData>
  <mergeCells count="9">
    <mergeCell ref="D5:D6"/>
    <mergeCell ref="T5:T7"/>
    <mergeCell ref="A17:A19"/>
    <mergeCell ref="G37:G39"/>
    <mergeCell ref="A21:A23"/>
    <mergeCell ref="A25:A27"/>
    <mergeCell ref="A5:A6"/>
    <mergeCell ref="B5:B6"/>
    <mergeCell ref="C5:C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92"/>
  <sheetViews>
    <sheetView topLeftCell="A40" workbookViewId="0">
      <selection activeCell="G53" sqref="G53:G55"/>
    </sheetView>
  </sheetViews>
  <sheetFormatPr defaultColWidth="8.88671875" defaultRowHeight="14.4" x14ac:dyDescent="0.3"/>
  <cols>
    <col min="1" max="1" width="20.33203125" style="423" customWidth="1"/>
    <col min="2" max="2" width="44.88671875" style="423" customWidth="1"/>
    <col min="3" max="3" width="11.44140625" style="422" customWidth="1"/>
    <col min="4" max="4" width="15.6640625" style="423" customWidth="1"/>
    <col min="5" max="5" width="12.88671875" style="423" hidden="1" customWidth="1"/>
    <col min="6" max="7" width="8.88671875" style="423" customWidth="1"/>
    <col min="8" max="8" width="9.6640625" style="423" customWidth="1"/>
    <col min="9" max="9" width="11.109375" style="423" customWidth="1"/>
    <col min="10" max="19" width="10" style="423" customWidth="1"/>
    <col min="20" max="20" width="10.6640625" style="423" customWidth="1"/>
    <col min="21" max="21" width="14.6640625" style="423" hidden="1" customWidth="1"/>
    <col min="22" max="22" width="9.5546875" style="423" bestFit="1" customWidth="1"/>
    <col min="23" max="16384" width="8.88671875" style="423"/>
  </cols>
  <sheetData>
    <row r="1" spans="1:21" ht="15.6" x14ac:dyDescent="0.3">
      <c r="A1" s="420" t="s">
        <v>440</v>
      </c>
      <c r="B1" s="421"/>
      <c r="E1" s="424"/>
      <c r="F1" s="425"/>
      <c r="G1" s="425"/>
      <c r="H1" s="425"/>
      <c r="I1" s="424"/>
      <c r="J1" s="424"/>
      <c r="K1" s="425"/>
      <c r="L1" s="425"/>
      <c r="M1" s="424"/>
      <c r="N1" s="424"/>
      <c r="O1" s="424"/>
      <c r="P1" s="424"/>
      <c r="Q1" s="424"/>
      <c r="R1" s="425"/>
      <c r="T1" s="426">
        <v>400</v>
      </c>
      <c r="U1" s="427" t="s">
        <v>269</v>
      </c>
    </row>
    <row r="2" spans="1:21" ht="15.6" x14ac:dyDescent="0.3">
      <c r="A2" s="428" t="s">
        <v>441</v>
      </c>
      <c r="B2" s="429"/>
    </row>
    <row r="3" spans="1:21" ht="15.6" x14ac:dyDescent="0.3">
      <c r="B3" s="423" t="s">
        <v>442</v>
      </c>
      <c r="E3" s="430">
        <v>1</v>
      </c>
      <c r="F3" s="430">
        <v>2</v>
      </c>
      <c r="G3" s="430"/>
      <c r="H3" s="430">
        <v>3</v>
      </c>
      <c r="I3" s="430">
        <v>4</v>
      </c>
      <c r="J3" s="430">
        <v>5</v>
      </c>
      <c r="K3" s="430">
        <v>6</v>
      </c>
      <c r="L3" s="430">
        <v>7</v>
      </c>
      <c r="M3" s="430">
        <v>8</v>
      </c>
      <c r="N3" s="430">
        <v>9</v>
      </c>
      <c r="O3" s="430">
        <v>10</v>
      </c>
      <c r="P3" s="430">
        <v>11</v>
      </c>
      <c r="Q3" s="430">
        <v>12</v>
      </c>
      <c r="R3" s="430">
        <v>13</v>
      </c>
      <c r="S3" s="430">
        <v>14</v>
      </c>
    </row>
    <row r="4" spans="1:21" ht="15.6" x14ac:dyDescent="0.3">
      <c r="A4" s="728"/>
      <c r="B4" s="730" t="s">
        <v>443</v>
      </c>
      <c r="C4" s="720" t="s">
        <v>444</v>
      </c>
      <c r="D4" s="720" t="s">
        <v>445</v>
      </c>
      <c r="E4" s="431" t="s">
        <v>446</v>
      </c>
      <c r="F4" s="432"/>
      <c r="G4" s="432"/>
      <c r="H4" s="432"/>
      <c r="I4" s="432"/>
      <c r="J4" s="432"/>
      <c r="K4" s="432"/>
      <c r="L4" s="432"/>
      <c r="M4" s="432"/>
      <c r="N4" s="432"/>
      <c r="O4" s="432"/>
      <c r="P4" s="432"/>
      <c r="Q4" s="432"/>
      <c r="R4" s="432"/>
      <c r="S4" s="432"/>
      <c r="T4" s="721" t="s">
        <v>447</v>
      </c>
    </row>
    <row r="5" spans="1:21" s="435" customFormat="1" ht="15.6" x14ac:dyDescent="0.3">
      <c r="A5" s="729"/>
      <c r="B5" s="731"/>
      <c r="C5" s="720"/>
      <c r="D5" s="720"/>
      <c r="E5" s="433">
        <v>2022</v>
      </c>
      <c r="F5" s="434">
        <v>2023</v>
      </c>
      <c r="G5" s="434"/>
      <c r="H5" s="433">
        <v>2024</v>
      </c>
      <c r="I5" s="434">
        <v>2025</v>
      </c>
      <c r="J5" s="433">
        <v>2026</v>
      </c>
      <c r="K5" s="434">
        <v>2027</v>
      </c>
      <c r="L5" s="433">
        <v>2028</v>
      </c>
      <c r="M5" s="434">
        <v>2029</v>
      </c>
      <c r="N5" s="433">
        <v>2030</v>
      </c>
      <c r="O5" s="434">
        <v>2031</v>
      </c>
      <c r="P5" s="433">
        <v>2032</v>
      </c>
      <c r="Q5" s="434">
        <v>2033</v>
      </c>
      <c r="R5" s="433">
        <v>2034</v>
      </c>
      <c r="S5" s="434">
        <v>2035</v>
      </c>
      <c r="T5" s="722"/>
    </row>
    <row r="6" spans="1:21" ht="15.6" x14ac:dyDescent="0.25">
      <c r="A6" s="436"/>
      <c r="B6" s="437">
        <v>1</v>
      </c>
      <c r="C6" s="438">
        <v>2</v>
      </c>
      <c r="D6" s="438">
        <v>3</v>
      </c>
      <c r="E6" s="438">
        <v>4</v>
      </c>
      <c r="F6" s="438">
        <v>5</v>
      </c>
      <c r="G6" s="438"/>
      <c r="H6" s="438">
        <v>6</v>
      </c>
      <c r="I6" s="438">
        <v>7</v>
      </c>
      <c r="J6" s="438">
        <v>8</v>
      </c>
      <c r="K6" s="438">
        <v>9</v>
      </c>
      <c r="L6" s="438">
        <v>10</v>
      </c>
      <c r="M6" s="438">
        <v>11</v>
      </c>
      <c r="N6" s="438">
        <v>12</v>
      </c>
      <c r="O6" s="438">
        <v>13</v>
      </c>
      <c r="P6" s="438">
        <v>14</v>
      </c>
      <c r="Q6" s="438">
        <v>15</v>
      </c>
      <c r="R6" s="438">
        <v>16</v>
      </c>
      <c r="S6" s="438">
        <v>17</v>
      </c>
      <c r="T6" s="722"/>
    </row>
    <row r="7" spans="1:21" ht="15.6" x14ac:dyDescent="0.3">
      <c r="A7" s="439" t="s">
        <v>448</v>
      </c>
      <c r="B7" s="440"/>
      <c r="C7" s="441"/>
      <c r="D7" s="442"/>
      <c r="E7" s="442"/>
      <c r="F7" s="442"/>
      <c r="G7" s="442"/>
      <c r="H7" s="442"/>
      <c r="I7" s="442"/>
      <c r="J7" s="442"/>
      <c r="K7" s="442"/>
      <c r="L7" s="442"/>
      <c r="M7" s="442"/>
      <c r="N7" s="442"/>
      <c r="O7" s="442"/>
      <c r="P7" s="442"/>
      <c r="Q7" s="442"/>
      <c r="R7" s="442"/>
      <c r="S7" s="442"/>
      <c r="T7" s="443"/>
    </row>
    <row r="8" spans="1:21" ht="15.6" x14ac:dyDescent="0.3">
      <c r="A8" s="444" t="s">
        <v>449</v>
      </c>
      <c r="B8" s="445" t="s">
        <v>450</v>
      </c>
      <c r="C8" s="441"/>
      <c r="D8" s="446"/>
      <c r="E8" s="447"/>
      <c r="F8" s="447"/>
      <c r="G8" s="447"/>
      <c r="H8" s="447"/>
      <c r="I8" s="447"/>
      <c r="J8" s="447"/>
      <c r="K8" s="447"/>
      <c r="L8" s="447"/>
      <c r="M8" s="447"/>
      <c r="N8" s="447"/>
      <c r="O8" s="447"/>
      <c r="P8" s="447"/>
      <c r="Q8" s="447"/>
      <c r="R8" s="447"/>
      <c r="S8" s="447"/>
      <c r="T8" s="443"/>
    </row>
    <row r="9" spans="1:21" ht="15.6" x14ac:dyDescent="0.3">
      <c r="A9" s="448"/>
      <c r="B9" s="449" t="s">
        <v>451</v>
      </c>
      <c r="C9" s="450" t="s">
        <v>452</v>
      </c>
      <c r="D9" s="451"/>
      <c r="E9" s="452">
        <f>'[5]Гр.замены (КГЦМ)'!D16</f>
        <v>1</v>
      </c>
      <c r="F9" s="452">
        <f>'[5]Гр.замены (КГЦМ)'!E16</f>
        <v>1</v>
      </c>
      <c r="G9" s="452"/>
      <c r="H9" s="452">
        <f>'[5]Гр.замены (КГЦМ)'!F16</f>
        <v>1</v>
      </c>
      <c r="I9" s="452">
        <f>'[5]Гр.замены (КГЦМ)'!G16</f>
        <v>1</v>
      </c>
      <c r="J9" s="452">
        <f>'[5]Гр.замены (КГЦМ)'!H16</f>
        <v>1</v>
      </c>
      <c r="K9" s="452">
        <f>'[5]Гр.замены (КГЦМ)'!I16</f>
        <v>1</v>
      </c>
      <c r="L9" s="452">
        <f>'[5]Гр.замены (КГЦМ)'!J16</f>
        <v>1</v>
      </c>
      <c r="M9" s="452">
        <f>'[5]Гр.замены (КГЦМ)'!K16</f>
        <v>1</v>
      </c>
      <c r="N9" s="452">
        <f>'[5]Гр.замены (КГЦМ)'!L16</f>
        <v>1</v>
      </c>
      <c r="O9" s="452">
        <f>'[5]Гр.замены (КГЦМ)'!M16</f>
        <v>1</v>
      </c>
      <c r="P9" s="452">
        <f>'[5]Гр.замены (КГЦМ)'!N16</f>
        <v>1</v>
      </c>
      <c r="Q9" s="452">
        <f>'[5]Гр.замены (КГЦМ)'!O16</f>
        <v>1</v>
      </c>
      <c r="R9" s="452">
        <f>'[5]Гр.замены (КГЦМ)'!P16</f>
        <v>1</v>
      </c>
      <c r="S9" s="452">
        <f>'[5]Гр.замены (КГЦМ)'!Q16</f>
        <v>1</v>
      </c>
      <c r="T9" s="443"/>
    </row>
    <row r="10" spans="1:21" ht="15.6" x14ac:dyDescent="0.3">
      <c r="A10" s="448"/>
      <c r="B10" s="449" t="s">
        <v>453</v>
      </c>
      <c r="C10" s="450" t="s">
        <v>452</v>
      </c>
      <c r="D10" s="443"/>
      <c r="E10" s="453">
        <f>'[5]Гр.замены (КГЦМ)'!D17</f>
        <v>0</v>
      </c>
      <c r="F10" s="453">
        <f>'[5]Гр.замены (КГЦМ)'!E17</f>
        <v>1</v>
      </c>
      <c r="G10" s="453"/>
      <c r="H10" s="453">
        <f>'[5]Гр.замены (КГЦМ)'!F17</f>
        <v>1</v>
      </c>
      <c r="I10" s="453">
        <f>'[5]Гр.замены (КГЦМ)'!G17</f>
        <v>1</v>
      </c>
      <c r="J10" s="453">
        <f>'[5]Гр.замены (КГЦМ)'!H17</f>
        <v>1</v>
      </c>
      <c r="K10" s="453">
        <f>'[5]Гр.замены (КГЦМ)'!I17</f>
        <v>1</v>
      </c>
      <c r="L10" s="453">
        <f>'[5]Гр.замены (КГЦМ)'!J17</f>
        <v>1</v>
      </c>
      <c r="M10" s="453">
        <f>'[5]Гр.замены (КГЦМ)'!K17</f>
        <v>1</v>
      </c>
      <c r="N10" s="453">
        <f>'[5]Гр.замены (КГЦМ)'!L17</f>
        <v>1</v>
      </c>
      <c r="O10" s="453">
        <f>'[5]Гр.замены (КГЦМ)'!M17</f>
        <v>1</v>
      </c>
      <c r="P10" s="453">
        <f>'[5]Гр.замены (КГЦМ)'!N17</f>
        <v>1</v>
      </c>
      <c r="Q10" s="453">
        <f>'[5]Гр.замены (КГЦМ)'!O17</f>
        <v>1</v>
      </c>
      <c r="R10" s="453">
        <f>'[5]Гр.замены (КГЦМ)'!P17</f>
        <v>0</v>
      </c>
      <c r="S10" s="453">
        <f>'[5]Гр.замены (КГЦМ)'!Q17</f>
        <v>0</v>
      </c>
      <c r="T10" s="443"/>
    </row>
    <row r="11" spans="1:21" ht="15.6" x14ac:dyDescent="0.3">
      <c r="A11" s="454"/>
      <c r="B11" s="455" t="s">
        <v>454</v>
      </c>
      <c r="C11" s="456" t="s">
        <v>455</v>
      </c>
      <c r="D11" s="457">
        <f>'[6]46104020_К9'!$G$23/1000</f>
        <v>316.53578999999996</v>
      </c>
      <c r="E11" s="458">
        <f t="shared" ref="E11:S11" si="0">$D11*E10</f>
        <v>0</v>
      </c>
      <c r="F11" s="458">
        <f t="shared" si="0"/>
        <v>316.53578999999996</v>
      </c>
      <c r="G11" s="458"/>
      <c r="H11" s="458">
        <f t="shared" si="0"/>
        <v>316.53578999999996</v>
      </c>
      <c r="I11" s="458">
        <f t="shared" si="0"/>
        <v>316.53578999999996</v>
      </c>
      <c r="J11" s="458">
        <f t="shared" si="0"/>
        <v>316.53578999999996</v>
      </c>
      <c r="K11" s="458">
        <f t="shared" si="0"/>
        <v>316.53578999999996</v>
      </c>
      <c r="L11" s="458">
        <f t="shared" si="0"/>
        <v>316.53578999999996</v>
      </c>
      <c r="M11" s="458">
        <f t="shared" si="0"/>
        <v>316.53578999999996</v>
      </c>
      <c r="N11" s="458">
        <f t="shared" si="0"/>
        <v>316.53578999999996</v>
      </c>
      <c r="O11" s="458">
        <f t="shared" si="0"/>
        <v>316.53578999999996</v>
      </c>
      <c r="P11" s="458">
        <f t="shared" si="0"/>
        <v>316.53578999999996</v>
      </c>
      <c r="Q11" s="458">
        <f t="shared" si="0"/>
        <v>316.53578999999996</v>
      </c>
      <c r="R11" s="458">
        <f t="shared" si="0"/>
        <v>0</v>
      </c>
      <c r="S11" s="458">
        <f t="shared" si="0"/>
        <v>0</v>
      </c>
      <c r="T11" s="459">
        <f>SUM(E11:S11)</f>
        <v>3481.8936899999994</v>
      </c>
    </row>
    <row r="12" spans="1:21" ht="15.6" x14ac:dyDescent="0.3">
      <c r="A12" s="444" t="s">
        <v>449</v>
      </c>
      <c r="B12" s="445" t="s">
        <v>456</v>
      </c>
      <c r="C12" s="441"/>
      <c r="D12" s="446"/>
      <c r="E12" s="447"/>
      <c r="F12" s="447"/>
      <c r="G12" s="447"/>
      <c r="H12" s="447"/>
      <c r="I12" s="447"/>
      <c r="J12" s="447"/>
      <c r="K12" s="447"/>
      <c r="L12" s="447"/>
      <c r="M12" s="447"/>
      <c r="N12" s="447"/>
      <c r="O12" s="447"/>
      <c r="P12" s="447"/>
      <c r="Q12" s="447"/>
      <c r="R12" s="447"/>
      <c r="S12" s="447"/>
      <c r="T12" s="443"/>
    </row>
    <row r="13" spans="1:21" ht="15.6" x14ac:dyDescent="0.3">
      <c r="A13" s="460"/>
      <c r="B13" s="449" t="s">
        <v>451</v>
      </c>
      <c r="C13" s="450" t="s">
        <v>452</v>
      </c>
      <c r="D13" s="451"/>
      <c r="E13" s="452">
        <f>'[5]Гр.замены (КГЦМ)'!D21</f>
        <v>2</v>
      </c>
      <c r="F13" s="452">
        <f>'[5]Гр.замены (КГЦМ)'!E21</f>
        <v>2</v>
      </c>
      <c r="G13" s="452"/>
      <c r="H13" s="452">
        <f>'[5]Гр.замены (КГЦМ)'!F21</f>
        <v>2</v>
      </c>
      <c r="I13" s="452">
        <f>'[5]Гр.замены (КГЦМ)'!G21</f>
        <v>2</v>
      </c>
      <c r="J13" s="452">
        <f>'[5]Гр.замены (КГЦМ)'!H21</f>
        <v>2</v>
      </c>
      <c r="K13" s="452">
        <f>'[5]Гр.замены (КГЦМ)'!I21</f>
        <v>2</v>
      </c>
      <c r="L13" s="452">
        <f>'[5]Гр.замены (КГЦМ)'!J21</f>
        <v>2</v>
      </c>
      <c r="M13" s="452">
        <f>'[5]Гр.замены (КГЦМ)'!K21</f>
        <v>2</v>
      </c>
      <c r="N13" s="452">
        <f>'[5]Гр.замены (КГЦМ)'!L21</f>
        <v>2</v>
      </c>
      <c r="O13" s="452">
        <f>'[5]Гр.замены (КГЦМ)'!M21</f>
        <v>2</v>
      </c>
      <c r="P13" s="452">
        <f>'[5]Гр.замены (КГЦМ)'!N21</f>
        <v>2</v>
      </c>
      <c r="Q13" s="452">
        <f>'[5]Гр.замены (КГЦМ)'!O21</f>
        <v>1</v>
      </c>
      <c r="R13" s="452">
        <f>'[5]Гр.замены (КГЦМ)'!P21</f>
        <v>1</v>
      </c>
      <c r="S13" s="452">
        <f>'[5]Гр.замены (КГЦМ)'!Q21</f>
        <v>1</v>
      </c>
      <c r="T13" s="443"/>
    </row>
    <row r="14" spans="1:21" ht="15.6" x14ac:dyDescent="0.3">
      <c r="A14" s="448"/>
      <c r="B14" s="449" t="s">
        <v>453</v>
      </c>
      <c r="C14" s="450" t="s">
        <v>452</v>
      </c>
      <c r="D14" s="443"/>
      <c r="E14" s="453">
        <f>'[5]Гр.замены (КГЦМ)'!D22</f>
        <v>0</v>
      </c>
      <c r="F14" s="453">
        <f>'[5]Гр.замены (КГЦМ)'!E22</f>
        <v>2</v>
      </c>
      <c r="G14" s="453"/>
      <c r="H14" s="453">
        <f>'[5]Гр.замены (КГЦМ)'!F22</f>
        <v>2</v>
      </c>
      <c r="I14" s="453">
        <f>'[5]Гр.замены (КГЦМ)'!G22</f>
        <v>2</v>
      </c>
      <c r="J14" s="453">
        <f>'[5]Гр.замены (КГЦМ)'!H22</f>
        <v>2</v>
      </c>
      <c r="K14" s="453">
        <f>'[5]Гр.замены (КГЦМ)'!I22</f>
        <v>2</v>
      </c>
      <c r="L14" s="453">
        <f>'[5]Гр.замены (КГЦМ)'!J22</f>
        <v>2</v>
      </c>
      <c r="M14" s="453">
        <f>'[5]Гр.замены (КГЦМ)'!K22</f>
        <v>2</v>
      </c>
      <c r="N14" s="453">
        <f>'[5]Гр.замены (КГЦМ)'!L22</f>
        <v>2</v>
      </c>
      <c r="O14" s="453">
        <f>'[5]Гр.замены (КГЦМ)'!M22</f>
        <v>2</v>
      </c>
      <c r="P14" s="453">
        <f>'[5]Гр.замены (КГЦМ)'!N22</f>
        <v>2</v>
      </c>
      <c r="Q14" s="453">
        <f>'[5]Гр.замены (КГЦМ)'!O22</f>
        <v>1</v>
      </c>
      <c r="R14" s="453">
        <f>'[5]Гр.замены (КГЦМ)'!P22</f>
        <v>1</v>
      </c>
      <c r="S14" s="453">
        <f>'[5]Гр.замены (КГЦМ)'!Q22</f>
        <v>1</v>
      </c>
      <c r="T14" s="443"/>
    </row>
    <row r="15" spans="1:21" ht="15.6" x14ac:dyDescent="0.3">
      <c r="A15" s="454"/>
      <c r="B15" s="455" t="s">
        <v>454</v>
      </c>
      <c r="C15" s="456" t="s">
        <v>455</v>
      </c>
      <c r="D15" s="457">
        <f>'[6]46104020_К9'!$G$27/1000</f>
        <v>221.51657999999998</v>
      </c>
      <c r="E15" s="458">
        <f t="shared" ref="E15:S15" si="1">$D15*E14</f>
        <v>0</v>
      </c>
      <c r="F15" s="458">
        <f t="shared" si="1"/>
        <v>443.03315999999995</v>
      </c>
      <c r="G15" s="458"/>
      <c r="H15" s="458">
        <f t="shared" si="1"/>
        <v>443.03315999999995</v>
      </c>
      <c r="I15" s="458">
        <f t="shared" si="1"/>
        <v>443.03315999999995</v>
      </c>
      <c r="J15" s="458">
        <f t="shared" si="1"/>
        <v>443.03315999999995</v>
      </c>
      <c r="K15" s="458">
        <f t="shared" si="1"/>
        <v>443.03315999999995</v>
      </c>
      <c r="L15" s="458">
        <f t="shared" si="1"/>
        <v>443.03315999999995</v>
      </c>
      <c r="M15" s="458">
        <f t="shared" si="1"/>
        <v>443.03315999999995</v>
      </c>
      <c r="N15" s="458">
        <f t="shared" si="1"/>
        <v>443.03315999999995</v>
      </c>
      <c r="O15" s="458">
        <f t="shared" si="1"/>
        <v>443.03315999999995</v>
      </c>
      <c r="P15" s="458">
        <f t="shared" si="1"/>
        <v>443.03315999999995</v>
      </c>
      <c r="Q15" s="458">
        <f t="shared" si="1"/>
        <v>221.51657999999998</v>
      </c>
      <c r="R15" s="458">
        <f t="shared" si="1"/>
        <v>221.51657999999998</v>
      </c>
      <c r="S15" s="458">
        <f t="shared" si="1"/>
        <v>221.51657999999998</v>
      </c>
      <c r="T15" s="459">
        <f>SUM(E15:S15)</f>
        <v>5094.8813399999981</v>
      </c>
    </row>
    <row r="16" spans="1:21" ht="15.6" x14ac:dyDescent="0.3">
      <c r="A16" s="732" t="s">
        <v>457</v>
      </c>
      <c r="B16" s="461" t="s">
        <v>458</v>
      </c>
      <c r="C16" s="441"/>
      <c r="D16" s="446"/>
      <c r="E16" s="447"/>
      <c r="F16" s="447"/>
      <c r="G16" s="447"/>
      <c r="H16" s="447"/>
      <c r="I16" s="447"/>
      <c r="J16" s="447"/>
      <c r="K16" s="447"/>
      <c r="L16" s="447"/>
      <c r="M16" s="447"/>
      <c r="N16" s="447"/>
      <c r="O16" s="447"/>
      <c r="P16" s="447"/>
      <c r="Q16" s="447"/>
      <c r="R16" s="447"/>
      <c r="S16" s="447"/>
      <c r="T16" s="443"/>
    </row>
    <row r="17" spans="1:21" ht="15.6" x14ac:dyDescent="0.3">
      <c r="A17" s="724"/>
      <c r="B17" s="449" t="s">
        <v>451</v>
      </c>
      <c r="C17" s="450" t="s">
        <v>452</v>
      </c>
      <c r="D17" s="451"/>
      <c r="E17" s="452">
        <f>'[5]Гр.замены (КГЦМ)'!D29</f>
        <v>3</v>
      </c>
      <c r="F17" s="452">
        <f>'[5]Гр.замены (КГЦМ)'!E29</f>
        <v>4</v>
      </c>
      <c r="G17" s="452"/>
      <c r="H17" s="452">
        <f>'[5]Гр.замены (КГЦМ)'!F29</f>
        <v>5</v>
      </c>
      <c r="I17" s="452">
        <f>'[5]Гр.замены (КГЦМ)'!G29</f>
        <v>5</v>
      </c>
      <c r="J17" s="452">
        <f>'[5]Гр.замены (КГЦМ)'!H29</f>
        <v>5</v>
      </c>
      <c r="K17" s="452">
        <f>'[5]Гр.замены (КГЦМ)'!I29</f>
        <v>5</v>
      </c>
      <c r="L17" s="452">
        <f>'[5]Гр.замены (КГЦМ)'!J29</f>
        <v>4</v>
      </c>
      <c r="M17" s="452">
        <f>'[5]Гр.замены (КГЦМ)'!K29</f>
        <v>4</v>
      </c>
      <c r="N17" s="452">
        <f>'[5]Гр.замены (КГЦМ)'!L29</f>
        <v>4</v>
      </c>
      <c r="O17" s="452">
        <f>'[5]Гр.замены (КГЦМ)'!M29</f>
        <v>4</v>
      </c>
      <c r="P17" s="452">
        <f>'[5]Гр.замены (КГЦМ)'!N29</f>
        <v>3</v>
      </c>
      <c r="Q17" s="452">
        <f>'[5]Гр.замены (КГЦМ)'!O29</f>
        <v>2</v>
      </c>
      <c r="R17" s="452">
        <f>'[5]Гр.замены (КГЦМ)'!P29</f>
        <v>1</v>
      </c>
      <c r="S17" s="452">
        <f>'[5]Гр.замены (КГЦМ)'!Q29</f>
        <v>1</v>
      </c>
      <c r="T17" s="443"/>
    </row>
    <row r="18" spans="1:21" ht="15.6" x14ac:dyDescent="0.3">
      <c r="A18" s="724"/>
      <c r="B18" s="449" t="s">
        <v>453</v>
      </c>
      <c r="C18" s="450" t="s">
        <v>452</v>
      </c>
      <c r="D18" s="443"/>
      <c r="E18" s="453">
        <f>'[5]Гр.замены (КГЦМ)'!D30</f>
        <v>0</v>
      </c>
      <c r="F18" s="453">
        <f>'[5]Гр.замены (КГЦМ)'!E30</f>
        <v>0</v>
      </c>
      <c r="G18" s="453"/>
      <c r="H18" s="453">
        <f>'[5]Гр.замены (КГЦМ)'!F30</f>
        <v>0</v>
      </c>
      <c r="I18" s="453">
        <f>'[5]Гр.замены (КГЦМ)'!G30</f>
        <v>3</v>
      </c>
      <c r="J18" s="453">
        <f>'[5]Гр.замены (КГЦМ)'!H30</f>
        <v>1</v>
      </c>
      <c r="K18" s="453">
        <f>'[5]Гр.замены (КГЦМ)'!I30</f>
        <v>0</v>
      </c>
      <c r="L18" s="453">
        <f>'[5]Гр.замены (КГЦМ)'!J30</f>
        <v>0</v>
      </c>
      <c r="M18" s="453">
        <f>'[5]Гр.замены (КГЦМ)'!K30</f>
        <v>4</v>
      </c>
      <c r="N18" s="453">
        <f>'[5]Гр.замены (КГЦМ)'!L30</f>
        <v>0</v>
      </c>
      <c r="O18" s="453">
        <f>'[5]Гр.замены (КГЦМ)'!M30</f>
        <v>0</v>
      </c>
      <c r="P18" s="453">
        <f>'[5]Гр.замены (КГЦМ)'!N30</f>
        <v>0</v>
      </c>
      <c r="Q18" s="453">
        <f>'[5]Гр.замены (КГЦМ)'!O30</f>
        <v>0</v>
      </c>
      <c r="R18" s="453">
        <f>'[5]Гр.замены (КГЦМ)'!P30</f>
        <v>0</v>
      </c>
      <c r="S18" s="453">
        <f>'[5]Гр.замены (КГЦМ)'!Q30</f>
        <v>0</v>
      </c>
      <c r="T18" s="443"/>
    </row>
    <row r="19" spans="1:21" ht="15.6" x14ac:dyDescent="0.3">
      <c r="A19" s="454"/>
      <c r="B19" s="455" t="s">
        <v>454</v>
      </c>
      <c r="C19" s="456" t="s">
        <v>455</v>
      </c>
      <c r="D19" s="457">
        <f>'[6]46104020_К9'!$G$35/1000</f>
        <v>38982.239999999998</v>
      </c>
      <c r="E19" s="458">
        <f t="shared" ref="E19:S19" si="2">$D19*E18</f>
        <v>0</v>
      </c>
      <c r="F19" s="458">
        <f t="shared" si="2"/>
        <v>0</v>
      </c>
      <c r="G19" s="458"/>
      <c r="H19" s="458">
        <f t="shared" si="2"/>
        <v>0</v>
      </c>
      <c r="I19" s="458">
        <f t="shared" si="2"/>
        <v>116946.72</v>
      </c>
      <c r="J19" s="458">
        <f t="shared" si="2"/>
        <v>38982.239999999998</v>
      </c>
      <c r="K19" s="458">
        <f t="shared" si="2"/>
        <v>0</v>
      </c>
      <c r="L19" s="458">
        <f t="shared" si="2"/>
        <v>0</v>
      </c>
      <c r="M19" s="458">
        <f t="shared" si="2"/>
        <v>155928.95999999999</v>
      </c>
      <c r="N19" s="458">
        <f t="shared" si="2"/>
        <v>0</v>
      </c>
      <c r="O19" s="458">
        <f t="shared" si="2"/>
        <v>0</v>
      </c>
      <c r="P19" s="458">
        <f t="shared" si="2"/>
        <v>0</v>
      </c>
      <c r="Q19" s="458">
        <f t="shared" si="2"/>
        <v>0</v>
      </c>
      <c r="R19" s="458">
        <f t="shared" si="2"/>
        <v>0</v>
      </c>
      <c r="S19" s="458">
        <f t="shared" si="2"/>
        <v>0</v>
      </c>
      <c r="T19" s="459">
        <f>SUM(E19:S19)</f>
        <v>311857.91999999998</v>
      </c>
    </row>
    <row r="20" spans="1:21" ht="15.6" x14ac:dyDescent="0.3">
      <c r="A20" s="732" t="s">
        <v>459</v>
      </c>
      <c r="B20" s="462" t="s">
        <v>460</v>
      </c>
      <c r="C20" s="441"/>
      <c r="D20" s="446"/>
      <c r="E20" s="447"/>
      <c r="F20" s="447"/>
      <c r="G20" s="447"/>
      <c r="H20" s="447"/>
      <c r="I20" s="447"/>
      <c r="J20" s="447"/>
      <c r="K20" s="447"/>
      <c r="L20" s="447"/>
      <c r="M20" s="447"/>
      <c r="N20" s="447"/>
      <c r="O20" s="447"/>
      <c r="P20" s="447"/>
      <c r="Q20" s="447"/>
      <c r="R20" s="447"/>
      <c r="S20" s="447"/>
      <c r="T20" s="443"/>
    </row>
    <row r="21" spans="1:21" ht="15.6" x14ac:dyDescent="0.3">
      <c r="A21" s="724"/>
      <c r="B21" s="449" t="s">
        <v>451</v>
      </c>
      <c r="C21" s="450" t="s">
        <v>452</v>
      </c>
      <c r="D21" s="451"/>
      <c r="E21" s="452">
        <f>'[5]Гр.замены (КГЦМ)'!D37</f>
        <v>1</v>
      </c>
      <c r="F21" s="452">
        <f>'[5]Гр.замены (КГЦМ)'!E37</f>
        <v>1</v>
      </c>
      <c r="G21" s="452"/>
      <c r="H21" s="452">
        <f>'[5]Гр.замены (КГЦМ)'!F37</f>
        <v>2</v>
      </c>
      <c r="I21" s="452">
        <f>'[5]Гр.замены (КГЦМ)'!G37</f>
        <v>2</v>
      </c>
      <c r="J21" s="452">
        <f>'[5]Гр.замены (КГЦМ)'!H37</f>
        <v>2</v>
      </c>
      <c r="K21" s="452">
        <f>'[5]Гр.замены (КГЦМ)'!I37</f>
        <v>2</v>
      </c>
      <c r="L21" s="452">
        <f>'[5]Гр.замены (КГЦМ)'!J37</f>
        <v>2</v>
      </c>
      <c r="M21" s="452">
        <f>'[5]Гр.замены (КГЦМ)'!K37</f>
        <v>2</v>
      </c>
      <c r="N21" s="452">
        <f>'[5]Гр.замены (КГЦМ)'!L37</f>
        <v>2</v>
      </c>
      <c r="O21" s="452">
        <f>'[5]Гр.замены (КГЦМ)'!M37</f>
        <v>2</v>
      </c>
      <c r="P21" s="452">
        <f>'[5]Гр.замены (КГЦМ)'!N37</f>
        <v>1</v>
      </c>
      <c r="Q21" s="452">
        <f>'[5]Гр.замены (КГЦМ)'!O37</f>
        <v>1</v>
      </c>
      <c r="R21" s="452">
        <f>'[5]Гр.замены (КГЦМ)'!P37</f>
        <v>1</v>
      </c>
      <c r="S21" s="452">
        <f>'[5]Гр.замены (КГЦМ)'!Q37</f>
        <v>1</v>
      </c>
      <c r="T21" s="443"/>
      <c r="U21" s="463"/>
    </row>
    <row r="22" spans="1:21" ht="15.6" x14ac:dyDescent="0.3">
      <c r="A22" s="724"/>
      <c r="B22" s="449" t="s">
        <v>453</v>
      </c>
      <c r="C22" s="450" t="s">
        <v>452</v>
      </c>
      <c r="D22" s="443"/>
      <c r="E22" s="453">
        <f>'[5]Гр.замены (КГЦМ)'!D38</f>
        <v>0</v>
      </c>
      <c r="F22" s="453">
        <f>'[5]Гр.замены (КГЦМ)'!E38</f>
        <v>0</v>
      </c>
      <c r="G22" s="453"/>
      <c r="H22" s="453">
        <f>'[5]Гр.замены (КГЦМ)'!F38</f>
        <v>0</v>
      </c>
      <c r="I22" s="453">
        <f>'[5]Гр.замены (КГЦМ)'!G38</f>
        <v>0</v>
      </c>
      <c r="J22" s="453">
        <f>'[5]Гр.замены (КГЦМ)'!H38</f>
        <v>1</v>
      </c>
      <c r="K22" s="453">
        <f>'[5]Гр.замены (КГЦМ)'!I38</f>
        <v>0</v>
      </c>
      <c r="L22" s="453">
        <f>'[5]Гр.замены (КГЦМ)'!J38</f>
        <v>1</v>
      </c>
      <c r="M22" s="453">
        <f>'[5]Гр.замены (КГЦМ)'!K38</f>
        <v>0</v>
      </c>
      <c r="N22" s="453">
        <f>'[5]Гр.замены (КГЦМ)'!L38</f>
        <v>1</v>
      </c>
      <c r="O22" s="453">
        <f>'[5]Гр.замены (КГЦМ)'!M38</f>
        <v>0</v>
      </c>
      <c r="P22" s="453">
        <f>'[5]Гр.замены (КГЦМ)'!N38</f>
        <v>0</v>
      </c>
      <c r="Q22" s="453">
        <f>'[5]Гр.замены (КГЦМ)'!O38</f>
        <v>0</v>
      </c>
      <c r="R22" s="453">
        <f>'[5]Гр.замены (КГЦМ)'!P38</f>
        <v>0</v>
      </c>
      <c r="S22" s="453">
        <f>'[5]Гр.замены (КГЦМ)'!Q38</f>
        <v>0</v>
      </c>
      <c r="T22" s="443"/>
    </row>
    <row r="23" spans="1:21" ht="15.6" x14ac:dyDescent="0.3">
      <c r="A23" s="454"/>
      <c r="B23" s="455" t="s">
        <v>454</v>
      </c>
      <c r="C23" s="456" t="s">
        <v>455</v>
      </c>
      <c r="D23" s="457">
        <f>[9]замена1_КГЦМ!D23</f>
        <v>1371.7214648390795</v>
      </c>
      <c r="E23" s="458"/>
      <c r="F23" s="458">
        <f t="shared" ref="F23:S23" si="3">$D23*F22</f>
        <v>0</v>
      </c>
      <c r="G23" s="458"/>
      <c r="H23" s="458">
        <f t="shared" si="3"/>
        <v>0</v>
      </c>
      <c r="I23" s="458">
        <f t="shared" si="3"/>
        <v>0</v>
      </c>
      <c r="J23" s="458">
        <f t="shared" si="3"/>
        <v>1371.7214648390795</v>
      </c>
      <c r="K23" s="458">
        <f t="shared" si="3"/>
        <v>0</v>
      </c>
      <c r="L23" s="458">
        <f t="shared" si="3"/>
        <v>1371.7214648390795</v>
      </c>
      <c r="M23" s="458">
        <f t="shared" si="3"/>
        <v>0</v>
      </c>
      <c r="N23" s="458">
        <f t="shared" si="3"/>
        <v>1371.7214648390795</v>
      </c>
      <c r="O23" s="458">
        <f t="shared" si="3"/>
        <v>0</v>
      </c>
      <c r="P23" s="458">
        <f t="shared" si="3"/>
        <v>0</v>
      </c>
      <c r="Q23" s="458">
        <f t="shared" si="3"/>
        <v>0</v>
      </c>
      <c r="R23" s="458">
        <f t="shared" si="3"/>
        <v>0</v>
      </c>
      <c r="S23" s="458">
        <f t="shared" si="3"/>
        <v>0</v>
      </c>
      <c r="T23" s="459">
        <f>SUM(E23:S23)</f>
        <v>4115.1643945172382</v>
      </c>
    </row>
    <row r="24" spans="1:21" ht="15.6" x14ac:dyDescent="0.3">
      <c r="A24" s="732" t="s">
        <v>459</v>
      </c>
      <c r="B24" s="462" t="s">
        <v>461</v>
      </c>
      <c r="C24" s="441"/>
      <c r="D24" s="446"/>
      <c r="E24" s="447"/>
      <c r="F24" s="447"/>
      <c r="G24" s="447"/>
      <c r="H24" s="447"/>
      <c r="I24" s="447"/>
      <c r="J24" s="447"/>
      <c r="K24" s="447"/>
      <c r="L24" s="447"/>
      <c r="M24" s="447"/>
      <c r="N24" s="447"/>
      <c r="O24" s="447"/>
      <c r="P24" s="447"/>
      <c r="Q24" s="447"/>
      <c r="R24" s="447"/>
      <c r="S24" s="447"/>
      <c r="T24" s="443"/>
    </row>
    <row r="25" spans="1:21" ht="15.6" x14ac:dyDescent="0.3">
      <c r="A25" s="724"/>
      <c r="B25" s="449" t="s">
        <v>451</v>
      </c>
      <c r="C25" s="450" t="s">
        <v>452</v>
      </c>
      <c r="D25" s="451"/>
      <c r="E25" s="452">
        <f>'[5]Гр.замены (КГЦМ)'!D42</f>
        <v>1</v>
      </c>
      <c r="F25" s="452">
        <f>'[5]Гр.замены (КГЦМ)'!E42</f>
        <v>1</v>
      </c>
      <c r="G25" s="452"/>
      <c r="H25" s="452">
        <f>'[5]Гр.замены (КГЦМ)'!F42</f>
        <v>1</v>
      </c>
      <c r="I25" s="452">
        <f>'[5]Гр.замены (КГЦМ)'!G42</f>
        <v>1</v>
      </c>
      <c r="J25" s="452">
        <f>'[5]Гр.замены (КГЦМ)'!H42</f>
        <v>1</v>
      </c>
      <c r="K25" s="452">
        <f>'[5]Гр.замены (КГЦМ)'!I42</f>
        <v>1</v>
      </c>
      <c r="L25" s="452">
        <f>'[5]Гр.замены (КГЦМ)'!J42</f>
        <v>1</v>
      </c>
      <c r="M25" s="452">
        <f>'[5]Гр.замены (КГЦМ)'!K42</f>
        <v>1</v>
      </c>
      <c r="N25" s="452">
        <f>'[5]Гр.замены (КГЦМ)'!L42</f>
        <v>1</v>
      </c>
      <c r="O25" s="452">
        <f>'[5]Гр.замены (КГЦМ)'!M42</f>
        <v>1</v>
      </c>
      <c r="P25" s="452">
        <f>'[5]Гр.замены (КГЦМ)'!N42</f>
        <v>1</v>
      </c>
      <c r="Q25" s="452">
        <f>'[5]Гр.замены (КГЦМ)'!O42</f>
        <v>1</v>
      </c>
      <c r="R25" s="452">
        <f>'[5]Гр.замены (КГЦМ)'!P42</f>
        <v>1</v>
      </c>
      <c r="S25" s="452">
        <f>'[5]Гр.замены (КГЦМ)'!Q42</f>
        <v>1</v>
      </c>
      <c r="T25" s="443"/>
      <c r="U25" s="463"/>
    </row>
    <row r="26" spans="1:21" ht="15.6" x14ac:dyDescent="0.3">
      <c r="A26" s="724"/>
      <c r="B26" s="449" t="s">
        <v>453</v>
      </c>
      <c r="C26" s="450" t="s">
        <v>452</v>
      </c>
      <c r="D26" s="443"/>
      <c r="E26" s="453">
        <f>'[5]Гр.замены (КГЦМ)'!D43</f>
        <v>0</v>
      </c>
      <c r="F26" s="453">
        <f>'[5]Гр.замены (КГЦМ)'!E43</f>
        <v>0</v>
      </c>
      <c r="G26" s="453"/>
      <c r="H26" s="453">
        <f>'[5]Гр.замены (КГЦМ)'!F43</f>
        <v>0</v>
      </c>
      <c r="I26" s="453">
        <f>'[5]Гр.замены (КГЦМ)'!G43</f>
        <v>0</v>
      </c>
      <c r="J26" s="453">
        <f>'[5]Гр.замены (КГЦМ)'!H43</f>
        <v>1</v>
      </c>
      <c r="K26" s="453">
        <f>'[5]Гр.замены (КГЦМ)'!I43</f>
        <v>0</v>
      </c>
      <c r="L26" s="453">
        <f>'[5]Гр.замены (КГЦМ)'!J43</f>
        <v>0</v>
      </c>
      <c r="M26" s="453">
        <f>'[5]Гр.замены (КГЦМ)'!K43</f>
        <v>0</v>
      </c>
      <c r="N26" s="453">
        <f>'[5]Гр.замены (КГЦМ)'!L43</f>
        <v>1</v>
      </c>
      <c r="O26" s="453">
        <f>'[5]Гр.замены (КГЦМ)'!M43</f>
        <v>0</v>
      </c>
      <c r="P26" s="453">
        <f>'[5]Гр.замены (КГЦМ)'!N43</f>
        <v>0</v>
      </c>
      <c r="Q26" s="453">
        <f>'[5]Гр.замены (КГЦМ)'!O43</f>
        <v>0</v>
      </c>
      <c r="R26" s="453">
        <f>'[5]Гр.замены (КГЦМ)'!P43</f>
        <v>0</v>
      </c>
      <c r="S26" s="453">
        <f>'[5]Гр.замены (КГЦМ)'!Q43</f>
        <v>0</v>
      </c>
      <c r="T26" s="443"/>
    </row>
    <row r="27" spans="1:21" ht="15.6" x14ac:dyDescent="0.3">
      <c r="A27" s="454"/>
      <c r="B27" s="455" t="s">
        <v>454</v>
      </c>
      <c r="C27" s="456" t="s">
        <v>455</v>
      </c>
      <c r="D27" s="457">
        <f>[9]замена1_КГЦМ!D27</f>
        <v>827.24505102318528</v>
      </c>
      <c r="E27" s="458"/>
      <c r="F27" s="458">
        <f t="shared" ref="F27:S27" si="4">$D27*F26</f>
        <v>0</v>
      </c>
      <c r="G27" s="458"/>
      <c r="H27" s="458">
        <f t="shared" si="4"/>
        <v>0</v>
      </c>
      <c r="I27" s="458">
        <f t="shared" si="4"/>
        <v>0</v>
      </c>
      <c r="J27" s="458">
        <f t="shared" si="4"/>
        <v>827.24505102318528</v>
      </c>
      <c r="K27" s="458">
        <f t="shared" si="4"/>
        <v>0</v>
      </c>
      <c r="L27" s="458">
        <f t="shared" si="4"/>
        <v>0</v>
      </c>
      <c r="M27" s="458">
        <f t="shared" si="4"/>
        <v>0</v>
      </c>
      <c r="N27" s="458">
        <f t="shared" si="4"/>
        <v>827.24505102318528</v>
      </c>
      <c r="O27" s="458">
        <f t="shared" si="4"/>
        <v>0</v>
      </c>
      <c r="P27" s="458">
        <f t="shared" si="4"/>
        <v>0</v>
      </c>
      <c r="Q27" s="458">
        <f t="shared" si="4"/>
        <v>0</v>
      </c>
      <c r="R27" s="458">
        <f t="shared" si="4"/>
        <v>0</v>
      </c>
      <c r="S27" s="458">
        <f t="shared" si="4"/>
        <v>0</v>
      </c>
      <c r="T27" s="459">
        <f>SUM(E27:S27)</f>
        <v>1654.4901020463706</v>
      </c>
    </row>
    <row r="28" spans="1:21" ht="15.6" x14ac:dyDescent="0.3">
      <c r="A28" s="444" t="s">
        <v>462</v>
      </c>
      <c r="B28" s="445" t="s">
        <v>463</v>
      </c>
      <c r="C28" s="441"/>
      <c r="D28" s="446"/>
      <c r="E28" s="447"/>
      <c r="F28" s="447"/>
      <c r="G28" s="447"/>
      <c r="H28" s="447"/>
      <c r="I28" s="447"/>
      <c r="J28" s="447"/>
      <c r="K28" s="447"/>
      <c r="L28" s="447"/>
      <c r="M28" s="447"/>
      <c r="N28" s="447"/>
      <c r="O28" s="447"/>
      <c r="P28" s="447"/>
      <c r="Q28" s="447"/>
      <c r="R28" s="447"/>
      <c r="S28" s="447"/>
      <c r="T28" s="443"/>
    </row>
    <row r="29" spans="1:21" ht="15.6" x14ac:dyDescent="0.3">
      <c r="A29" s="460"/>
      <c r="B29" s="449" t="s">
        <v>451</v>
      </c>
      <c r="C29" s="450" t="s">
        <v>452</v>
      </c>
      <c r="D29" s="451"/>
      <c r="E29" s="452">
        <f>'[5]Гр.замены (КГЦМ)'!D46</f>
        <v>1</v>
      </c>
      <c r="F29" s="452">
        <f>'[5]Гр.замены (КГЦМ)'!E46</f>
        <v>1</v>
      </c>
      <c r="G29" s="452"/>
      <c r="H29" s="452">
        <f>'[5]Гр.замены (КГЦМ)'!F46</f>
        <v>1</v>
      </c>
      <c r="I29" s="452">
        <f>'[5]Гр.замены (КГЦМ)'!G46</f>
        <v>1</v>
      </c>
      <c r="J29" s="452">
        <f>'[5]Гр.замены (КГЦМ)'!H46</f>
        <v>1</v>
      </c>
      <c r="K29" s="452">
        <f>'[5]Гр.замены (КГЦМ)'!I46</f>
        <v>1</v>
      </c>
      <c r="L29" s="452">
        <f>'[5]Гр.замены (КГЦМ)'!J46</f>
        <v>1</v>
      </c>
      <c r="M29" s="452">
        <f>'[5]Гр.замены (КГЦМ)'!K46</f>
        <v>1</v>
      </c>
      <c r="N29" s="452">
        <f>'[5]Гр.замены (КГЦМ)'!L46</f>
        <v>1</v>
      </c>
      <c r="O29" s="452">
        <f>'[5]Гр.замены (КГЦМ)'!M46</f>
        <v>1</v>
      </c>
      <c r="P29" s="452">
        <f>'[5]Гр.замены (КГЦМ)'!N46</f>
        <v>1</v>
      </c>
      <c r="Q29" s="452">
        <f>'[5]Гр.замены (КГЦМ)'!O46</f>
        <v>1</v>
      </c>
      <c r="R29" s="452">
        <f>'[5]Гр.замены (КГЦМ)'!P46</f>
        <v>1</v>
      </c>
      <c r="S29" s="452">
        <f>'[5]Гр.замены (КГЦМ)'!Q46</f>
        <v>1</v>
      </c>
      <c r="T29" s="443"/>
    </row>
    <row r="30" spans="1:21" ht="15.6" x14ac:dyDescent="0.3">
      <c r="A30" s="448"/>
      <c r="B30" s="449" t="s">
        <v>453</v>
      </c>
      <c r="C30" s="450" t="s">
        <v>452</v>
      </c>
      <c r="D30" s="443"/>
      <c r="E30" s="453">
        <f>'[5]Гр.замены (КГЦМ)'!D47</f>
        <v>0</v>
      </c>
      <c r="F30" s="453">
        <f>'[5]Гр.замены (КГЦМ)'!E47</f>
        <v>0</v>
      </c>
      <c r="G30" s="453"/>
      <c r="H30" s="453">
        <f>'[5]Гр.замены (КГЦМ)'!F47</f>
        <v>0</v>
      </c>
      <c r="I30" s="453">
        <f>'[5]Гр.замены (КГЦМ)'!G47</f>
        <v>0</v>
      </c>
      <c r="J30" s="453">
        <f>'[5]Гр.замены (КГЦМ)'!H47</f>
        <v>0</v>
      </c>
      <c r="K30" s="453">
        <f>'[5]Гр.замены (КГЦМ)'!I47</f>
        <v>1</v>
      </c>
      <c r="L30" s="453">
        <f>'[5]Гр.замены (КГЦМ)'!J47</f>
        <v>0</v>
      </c>
      <c r="M30" s="453">
        <f>'[5]Гр.замены (КГЦМ)'!K47</f>
        <v>0</v>
      </c>
      <c r="N30" s="453">
        <f>'[5]Гр.замены (КГЦМ)'!L47</f>
        <v>0</v>
      </c>
      <c r="O30" s="453">
        <f>'[5]Гр.замены (КГЦМ)'!M47</f>
        <v>0</v>
      </c>
      <c r="P30" s="453">
        <f>'[5]Гр.замены (КГЦМ)'!N47</f>
        <v>1</v>
      </c>
      <c r="Q30" s="453">
        <f>'[5]Гр.замены (КГЦМ)'!O47</f>
        <v>0</v>
      </c>
      <c r="R30" s="453">
        <f>'[5]Гр.замены (КГЦМ)'!P47</f>
        <v>0</v>
      </c>
      <c r="S30" s="453">
        <f>'[5]Гр.замены (КГЦМ)'!Q47</f>
        <v>0</v>
      </c>
      <c r="T30" s="443"/>
    </row>
    <row r="31" spans="1:21" ht="15.6" x14ac:dyDescent="0.3">
      <c r="A31" s="454"/>
      <c r="B31" s="455" t="s">
        <v>454</v>
      </c>
      <c r="C31" s="456" t="s">
        <v>455</v>
      </c>
      <c r="D31" s="457">
        <f>'[6]46104020_К9'!$G$31/1000</f>
        <v>369904.03464999999</v>
      </c>
      <c r="E31" s="458">
        <f t="shared" ref="E31:S31" si="5">$D31*E30</f>
        <v>0</v>
      </c>
      <c r="F31" s="458">
        <f t="shared" si="5"/>
        <v>0</v>
      </c>
      <c r="G31" s="458"/>
      <c r="H31" s="458">
        <f t="shared" si="5"/>
        <v>0</v>
      </c>
      <c r="I31" s="458">
        <f t="shared" si="5"/>
        <v>0</v>
      </c>
      <c r="J31" s="458">
        <f t="shared" si="5"/>
        <v>0</v>
      </c>
      <c r="K31" s="458">
        <f t="shared" si="5"/>
        <v>369904.03464999999</v>
      </c>
      <c r="L31" s="458">
        <f t="shared" si="5"/>
        <v>0</v>
      </c>
      <c r="M31" s="458">
        <f t="shared" si="5"/>
        <v>0</v>
      </c>
      <c r="N31" s="458">
        <f t="shared" si="5"/>
        <v>0</v>
      </c>
      <c r="O31" s="458">
        <f t="shared" si="5"/>
        <v>0</v>
      </c>
      <c r="P31" s="458">
        <f t="shared" si="5"/>
        <v>369904.03464999999</v>
      </c>
      <c r="Q31" s="458">
        <f t="shared" si="5"/>
        <v>0</v>
      </c>
      <c r="R31" s="458">
        <f t="shared" si="5"/>
        <v>0</v>
      </c>
      <c r="S31" s="458">
        <f t="shared" si="5"/>
        <v>0</v>
      </c>
      <c r="T31" s="459">
        <f>SUM(E31:S31)</f>
        <v>739808.06929999997</v>
      </c>
    </row>
    <row r="32" spans="1:21" ht="15.6" x14ac:dyDescent="0.3">
      <c r="A32" s="444" t="s">
        <v>464</v>
      </c>
      <c r="B32" s="445" t="s">
        <v>465</v>
      </c>
      <c r="C32" s="441"/>
      <c r="D32" s="446"/>
      <c r="E32" s="447"/>
      <c r="F32" s="447"/>
      <c r="G32" s="447"/>
      <c r="H32" s="447"/>
      <c r="I32" s="447"/>
      <c r="J32" s="447"/>
      <c r="K32" s="447"/>
      <c r="L32" s="447"/>
      <c r="M32" s="447"/>
      <c r="N32" s="447"/>
      <c r="O32" s="447"/>
      <c r="P32" s="447"/>
      <c r="Q32" s="447"/>
      <c r="R32" s="447"/>
      <c r="S32" s="447"/>
      <c r="T32" s="443"/>
    </row>
    <row r="33" spans="1:20" ht="15.6" x14ac:dyDescent="0.3">
      <c r="A33" s="460"/>
      <c r="B33" s="449" t="s">
        <v>451</v>
      </c>
      <c r="C33" s="450" t="s">
        <v>452</v>
      </c>
      <c r="D33" s="451"/>
      <c r="E33" s="452">
        <f>'[5]Гр.замены (КГЦМ)'!D48</f>
        <v>2</v>
      </c>
      <c r="F33" s="452">
        <f>'[5]Гр.замены (КГЦМ)'!E48</f>
        <v>4</v>
      </c>
      <c r="G33" s="452"/>
      <c r="H33" s="452">
        <f>'[5]Гр.замены (КГЦМ)'!F48</f>
        <v>4</v>
      </c>
      <c r="I33" s="452">
        <f>'[5]Гр.замены (КГЦМ)'!G48</f>
        <v>6</v>
      </c>
      <c r="J33" s="452">
        <f>'[5]Гр.замены (КГЦМ)'!H48</f>
        <v>6</v>
      </c>
      <c r="K33" s="452">
        <f>'[5]Гр.замены (КГЦМ)'!I48</f>
        <v>6</v>
      </c>
      <c r="L33" s="452">
        <f>'[5]Гр.замены (КГЦМ)'!J48</f>
        <v>6</v>
      </c>
      <c r="M33" s="452">
        <f>'[5]Гр.замены (КГЦМ)'!K48</f>
        <v>6</v>
      </c>
      <c r="N33" s="452">
        <f>'[5]Гр.замены (КГЦМ)'!L48</f>
        <v>6</v>
      </c>
      <c r="O33" s="452">
        <f>'[5]Гр.замены (КГЦМ)'!M48</f>
        <v>6</v>
      </c>
      <c r="P33" s="452">
        <f>'[5]Гр.замены (КГЦМ)'!N48</f>
        <v>4</v>
      </c>
      <c r="Q33" s="452">
        <f>'[5]Гр.замены (КГЦМ)'!O48</f>
        <v>4</v>
      </c>
      <c r="R33" s="452">
        <f>'[5]Гр.замены (КГЦМ)'!P48</f>
        <v>4</v>
      </c>
      <c r="S33" s="452">
        <f>'[5]Гр.замены (КГЦМ)'!Q48</f>
        <v>2</v>
      </c>
      <c r="T33" s="443"/>
    </row>
    <row r="34" spans="1:20" ht="15.6" x14ac:dyDescent="0.3">
      <c r="A34" s="448"/>
      <c r="B34" s="449" t="s">
        <v>453</v>
      </c>
      <c r="C34" s="450" t="s">
        <v>452</v>
      </c>
      <c r="D34" s="443"/>
      <c r="E34" s="453">
        <f>'[5]Гр.замены (КГЦМ)'!D49</f>
        <v>0</v>
      </c>
      <c r="F34" s="453">
        <f>'[5]Гр.замены (КГЦМ)'!E49</f>
        <v>0</v>
      </c>
      <c r="G34" s="453"/>
      <c r="H34" s="453">
        <f>'[5]Гр.замены (КГЦМ)'!F49</f>
        <v>0</v>
      </c>
      <c r="I34" s="453">
        <f>'[5]Гр.замены (КГЦМ)'!G49</f>
        <v>0</v>
      </c>
      <c r="J34" s="453">
        <f>'[5]Гр.замены (КГЦМ)'!H49</f>
        <v>0</v>
      </c>
      <c r="K34" s="453">
        <f>'[5]Гр.замены (КГЦМ)'!I49</f>
        <v>0</v>
      </c>
      <c r="L34" s="453">
        <f>'[5]Гр.замены (КГЦМ)'!J49</f>
        <v>2</v>
      </c>
      <c r="M34" s="453">
        <f>'[5]Гр.замены (КГЦМ)'!K49</f>
        <v>2</v>
      </c>
      <c r="N34" s="453">
        <f>'[5]Гр.замены (КГЦМ)'!L49</f>
        <v>0</v>
      </c>
      <c r="O34" s="453">
        <f>'[5]Гр.замены (КГЦМ)'!M49</f>
        <v>0</v>
      </c>
      <c r="P34" s="453">
        <f>'[5]Гр.замены (КГЦМ)'!N49</f>
        <v>0</v>
      </c>
      <c r="Q34" s="453">
        <f>'[5]Гр.замены (КГЦМ)'!O49</f>
        <v>2</v>
      </c>
      <c r="R34" s="453">
        <f>'[5]Гр.замены (КГЦМ)'!P49</f>
        <v>0</v>
      </c>
      <c r="S34" s="453">
        <f>'[5]Гр.замены (КГЦМ)'!Q49</f>
        <v>0</v>
      </c>
      <c r="T34" s="443"/>
    </row>
    <row r="35" spans="1:20" ht="15.6" x14ac:dyDescent="0.3">
      <c r="A35" s="454"/>
      <c r="B35" s="455" t="s">
        <v>454</v>
      </c>
      <c r="C35" s="456" t="s">
        <v>455</v>
      </c>
      <c r="D35" s="457">
        <f>'[10]46104090_К9'!$G$25/1000</f>
        <v>61287.78026</v>
      </c>
      <c r="E35" s="458">
        <f t="shared" ref="E35:S35" si="6">$D35*E34</f>
        <v>0</v>
      </c>
      <c r="F35" s="458">
        <f t="shared" si="6"/>
        <v>0</v>
      </c>
      <c r="G35" s="458"/>
      <c r="H35" s="458">
        <f t="shared" si="6"/>
        <v>0</v>
      </c>
      <c r="I35" s="458">
        <f t="shared" si="6"/>
        <v>0</v>
      </c>
      <c r="J35" s="458">
        <f t="shared" si="6"/>
        <v>0</v>
      </c>
      <c r="K35" s="458">
        <f t="shared" si="6"/>
        <v>0</v>
      </c>
      <c r="L35" s="458">
        <f t="shared" si="6"/>
        <v>122575.56052</v>
      </c>
      <c r="M35" s="458">
        <f t="shared" si="6"/>
        <v>122575.56052</v>
      </c>
      <c r="N35" s="458">
        <f t="shared" si="6"/>
        <v>0</v>
      </c>
      <c r="O35" s="458">
        <f t="shared" si="6"/>
        <v>0</v>
      </c>
      <c r="P35" s="458">
        <f t="shared" si="6"/>
        <v>0</v>
      </c>
      <c r="Q35" s="458">
        <f t="shared" si="6"/>
        <v>122575.56052</v>
      </c>
      <c r="R35" s="458">
        <f t="shared" si="6"/>
        <v>0</v>
      </c>
      <c r="S35" s="458">
        <f t="shared" si="6"/>
        <v>0</v>
      </c>
      <c r="T35" s="459">
        <f>SUM(E35:S35)</f>
        <v>367726.68156</v>
      </c>
    </row>
    <row r="36" spans="1:20" ht="15.6" x14ac:dyDescent="0.25">
      <c r="A36" s="464" t="s">
        <v>466</v>
      </c>
      <c r="B36" s="465"/>
      <c r="C36" s="443"/>
      <c r="D36" s="446"/>
      <c r="E36" s="447"/>
      <c r="F36" s="447"/>
      <c r="G36" s="447"/>
      <c r="H36" s="447"/>
      <c r="I36" s="447"/>
      <c r="J36" s="447"/>
      <c r="K36" s="447"/>
      <c r="L36" s="447"/>
      <c r="M36" s="447"/>
      <c r="N36" s="447"/>
      <c r="O36" s="447"/>
      <c r="P36" s="447"/>
      <c r="Q36" s="447"/>
      <c r="R36" s="447"/>
      <c r="S36" s="447"/>
      <c r="T36" s="443"/>
    </row>
    <row r="37" spans="1:20" ht="15.6" x14ac:dyDescent="0.3">
      <c r="A37" s="466" t="s">
        <v>467</v>
      </c>
      <c r="B37" s="467" t="s">
        <v>468</v>
      </c>
      <c r="C37" s="441"/>
      <c r="D37" s="446"/>
      <c r="E37" s="447"/>
      <c r="F37" s="447"/>
      <c r="G37" s="447"/>
      <c r="H37" s="447"/>
      <c r="I37" s="447"/>
      <c r="J37" s="447"/>
      <c r="K37" s="447"/>
      <c r="L37" s="447"/>
      <c r="M37" s="447"/>
      <c r="N37" s="447"/>
      <c r="O37" s="447"/>
      <c r="P37" s="447"/>
      <c r="Q37" s="447"/>
      <c r="R37" s="447"/>
      <c r="S37" s="447"/>
      <c r="T37" s="443"/>
    </row>
    <row r="38" spans="1:20" ht="15.6" x14ac:dyDescent="0.3">
      <c r="A38" s="460"/>
      <c r="B38" s="449" t="s">
        <v>451</v>
      </c>
      <c r="C38" s="450" t="s">
        <v>452</v>
      </c>
      <c r="D38" s="451"/>
      <c r="E38" s="452">
        <f>'[5]Гр.замены (КГЦМ)'!D56</f>
        <v>0</v>
      </c>
      <c r="F38" s="452">
        <f>'[5]Гр.замены (КГЦМ)'!E56</f>
        <v>0</v>
      </c>
      <c r="G38" s="452"/>
      <c r="H38" s="452">
        <f>'[5]Гр.замены (КГЦМ)'!F56</f>
        <v>0</v>
      </c>
      <c r="I38" s="452">
        <f>'[5]Гр.замены (КГЦМ)'!G56</f>
        <v>3</v>
      </c>
      <c r="J38" s="452">
        <f>'[5]Гр.замены (КГЦМ)'!H56</f>
        <v>3</v>
      </c>
      <c r="K38" s="452">
        <f>'[5]Гр.замены (КГЦМ)'!I56</f>
        <v>3</v>
      </c>
      <c r="L38" s="452">
        <f>'[5]Гр.замены (КГЦМ)'!J56</f>
        <v>3</v>
      </c>
      <c r="M38" s="452">
        <f>'[5]Гр.замены (КГЦМ)'!K56</f>
        <v>3</v>
      </c>
      <c r="N38" s="452">
        <f>'[5]Гр.замены (КГЦМ)'!L56</f>
        <v>3</v>
      </c>
      <c r="O38" s="452">
        <f>'[5]Гр.замены (КГЦМ)'!M56</f>
        <v>3</v>
      </c>
      <c r="P38" s="452">
        <f>'[5]Гр.замены (КГЦМ)'!N56</f>
        <v>3</v>
      </c>
      <c r="Q38" s="452">
        <f>'[5]Гр.замены (КГЦМ)'!O56</f>
        <v>3</v>
      </c>
      <c r="R38" s="452">
        <f>'[5]Гр.замены (КГЦМ)'!P56</f>
        <v>3</v>
      </c>
      <c r="S38" s="452">
        <f>'[5]Гр.замены (КГЦМ)'!Q56</f>
        <v>3</v>
      </c>
      <c r="T38" s="443"/>
    </row>
    <row r="39" spans="1:20" ht="15.6" x14ac:dyDescent="0.3">
      <c r="A39" s="448"/>
      <c r="B39" s="449" t="s">
        <v>453</v>
      </c>
      <c r="C39" s="450" t="s">
        <v>452</v>
      </c>
      <c r="D39" s="443"/>
      <c r="E39" s="453">
        <f>'[5]Гр.замены (КГЦМ)'!D57</f>
        <v>0</v>
      </c>
      <c r="F39" s="453">
        <f>'[5]Гр.замены (КГЦМ)'!E57</f>
        <v>0</v>
      </c>
      <c r="G39" s="453"/>
      <c r="H39" s="453">
        <f>'[5]Гр.замены (КГЦМ)'!F57</f>
        <v>0</v>
      </c>
      <c r="I39" s="453">
        <f>'[5]Гр.замены (КГЦМ)'!G57</f>
        <v>0</v>
      </c>
      <c r="J39" s="453">
        <f>'[5]Гр.замены (КГЦМ)'!H57</f>
        <v>0</v>
      </c>
      <c r="K39" s="453">
        <f>'[5]Гр.замены (КГЦМ)'!I57</f>
        <v>0</v>
      </c>
      <c r="L39" s="453">
        <f>'[5]Гр.замены (КГЦМ)'!J57</f>
        <v>0</v>
      </c>
      <c r="M39" s="453">
        <f>'[5]Гр.замены (КГЦМ)'!K57</f>
        <v>3</v>
      </c>
      <c r="N39" s="453">
        <f>'[5]Гр.замены (КГЦМ)'!L57</f>
        <v>0</v>
      </c>
      <c r="O39" s="453">
        <f>'[5]Гр.замены (КГЦМ)'!M57</f>
        <v>0</v>
      </c>
      <c r="P39" s="453">
        <f>'[5]Гр.замены (КГЦМ)'!N57</f>
        <v>0</v>
      </c>
      <c r="Q39" s="453">
        <f>'[5]Гр.замены (КГЦМ)'!O57</f>
        <v>3</v>
      </c>
      <c r="R39" s="453">
        <f>'[5]Гр.замены (КГЦМ)'!P57</f>
        <v>0</v>
      </c>
      <c r="S39" s="453">
        <f>'[5]Гр.замены (КГЦМ)'!Q57</f>
        <v>0</v>
      </c>
      <c r="T39" s="443"/>
    </row>
    <row r="40" spans="1:20" ht="15.6" x14ac:dyDescent="0.3">
      <c r="A40" s="454"/>
      <c r="B40" s="455" t="s">
        <v>454</v>
      </c>
      <c r="C40" s="456" t="s">
        <v>455</v>
      </c>
      <c r="D40" s="457">
        <v>36000</v>
      </c>
      <c r="E40" s="458">
        <f t="shared" ref="E40:S40" si="7">$D40*E39</f>
        <v>0</v>
      </c>
      <c r="F40" s="458">
        <f t="shared" si="7"/>
        <v>0</v>
      </c>
      <c r="G40" s="458"/>
      <c r="H40" s="458">
        <f t="shared" si="7"/>
        <v>0</v>
      </c>
      <c r="I40" s="458">
        <f t="shared" si="7"/>
        <v>0</v>
      </c>
      <c r="J40" s="458">
        <f t="shared" si="7"/>
        <v>0</v>
      </c>
      <c r="K40" s="458">
        <f t="shared" si="7"/>
        <v>0</v>
      </c>
      <c r="L40" s="458">
        <f t="shared" si="7"/>
        <v>0</v>
      </c>
      <c r="M40" s="458">
        <f t="shared" si="7"/>
        <v>108000</v>
      </c>
      <c r="N40" s="458">
        <f t="shared" si="7"/>
        <v>0</v>
      </c>
      <c r="O40" s="458">
        <f t="shared" si="7"/>
        <v>0</v>
      </c>
      <c r="P40" s="458">
        <f t="shared" si="7"/>
        <v>0</v>
      </c>
      <c r="Q40" s="458">
        <f t="shared" si="7"/>
        <v>108000</v>
      </c>
      <c r="R40" s="458">
        <f t="shared" si="7"/>
        <v>0</v>
      </c>
      <c r="S40" s="458">
        <f t="shared" si="7"/>
        <v>0</v>
      </c>
      <c r="T40" s="459">
        <f>SUM(E40:S40)</f>
        <v>216000</v>
      </c>
    </row>
    <row r="41" spans="1:20" ht="15.6" x14ac:dyDescent="0.3">
      <c r="A41" s="466" t="s">
        <v>467</v>
      </c>
      <c r="B41" s="467" t="s">
        <v>469</v>
      </c>
      <c r="C41" s="441"/>
      <c r="D41" s="446"/>
      <c r="E41" s="447"/>
      <c r="F41" s="447"/>
      <c r="G41" s="447"/>
      <c r="H41" s="447"/>
      <c r="I41" s="447"/>
      <c r="J41" s="447"/>
      <c r="K41" s="447"/>
      <c r="L41" s="447"/>
      <c r="M41" s="447"/>
      <c r="N41" s="447"/>
      <c r="O41" s="447"/>
      <c r="P41" s="447"/>
      <c r="Q41" s="447"/>
      <c r="R41" s="447"/>
      <c r="S41" s="447"/>
      <c r="T41" s="443"/>
    </row>
    <row r="42" spans="1:20" ht="15.6" x14ac:dyDescent="0.3">
      <c r="A42" s="460"/>
      <c r="B42" s="449" t="s">
        <v>451</v>
      </c>
      <c r="C42" s="450" t="s">
        <v>452</v>
      </c>
      <c r="D42" s="451"/>
      <c r="E42" s="452">
        <f>'[5]Гр.замены (КГЦМ)'!D60</f>
        <v>0</v>
      </c>
      <c r="F42" s="452">
        <f>'[5]Гр.замены (КГЦМ)'!E60</f>
        <v>0</v>
      </c>
      <c r="G42" s="452"/>
      <c r="H42" s="452">
        <f>'[5]Гр.замены (КГЦМ)'!F60</f>
        <v>0</v>
      </c>
      <c r="I42" s="452">
        <f>'[5]Гр.замены (КГЦМ)'!G60</f>
        <v>2</v>
      </c>
      <c r="J42" s="452">
        <f>'[5]Гр.замены (КГЦМ)'!H60</f>
        <v>2</v>
      </c>
      <c r="K42" s="452">
        <f>'[5]Гр.замены (КГЦМ)'!I60</f>
        <v>2</v>
      </c>
      <c r="L42" s="452">
        <f>'[5]Гр.замены (КГЦМ)'!J60</f>
        <v>2</v>
      </c>
      <c r="M42" s="452">
        <f>'[5]Гр.замены (КГЦМ)'!K60</f>
        <v>2</v>
      </c>
      <c r="N42" s="452">
        <f>'[5]Гр.замены (КГЦМ)'!L60</f>
        <v>2</v>
      </c>
      <c r="O42" s="452">
        <f>'[5]Гр.замены (КГЦМ)'!M60</f>
        <v>2</v>
      </c>
      <c r="P42" s="452">
        <f>'[5]Гр.замены (КГЦМ)'!N60</f>
        <v>2</v>
      </c>
      <c r="Q42" s="452">
        <f>'[5]Гр.замены (КГЦМ)'!O60</f>
        <v>2</v>
      </c>
      <c r="R42" s="452">
        <f>'[5]Гр.замены (КГЦМ)'!P60</f>
        <v>2</v>
      </c>
      <c r="S42" s="452">
        <f>'[5]Гр.замены (КГЦМ)'!Q60</f>
        <v>2</v>
      </c>
      <c r="T42" s="443"/>
    </row>
    <row r="43" spans="1:20" ht="15.6" x14ac:dyDescent="0.3">
      <c r="A43" s="448"/>
      <c r="B43" s="449" t="s">
        <v>453</v>
      </c>
      <c r="C43" s="450" t="s">
        <v>452</v>
      </c>
      <c r="D43" s="443"/>
      <c r="E43" s="453">
        <f>'[5]Гр.замены (КГЦМ)'!D61</f>
        <v>0</v>
      </c>
      <c r="F43" s="453">
        <f>'[5]Гр.замены (КГЦМ)'!E61</f>
        <v>0</v>
      </c>
      <c r="G43" s="453"/>
      <c r="H43" s="453">
        <f>'[5]Гр.замены (КГЦМ)'!F61</f>
        <v>0</v>
      </c>
      <c r="I43" s="453">
        <f>'[5]Гр.замены (КГЦМ)'!G61</f>
        <v>0</v>
      </c>
      <c r="J43" s="453">
        <f>'[5]Гр.замены (КГЦМ)'!H61</f>
        <v>0</v>
      </c>
      <c r="K43" s="453">
        <f>'[5]Гр.замены (КГЦМ)'!I61</f>
        <v>0</v>
      </c>
      <c r="L43" s="453">
        <f>'[5]Гр.замены (КГЦМ)'!J61</f>
        <v>0</v>
      </c>
      <c r="M43" s="453">
        <f>'[5]Гр.замены (КГЦМ)'!K61</f>
        <v>2</v>
      </c>
      <c r="N43" s="453">
        <f>'[5]Гр.замены (КГЦМ)'!L61</f>
        <v>0</v>
      </c>
      <c r="O43" s="453">
        <f>'[5]Гр.замены (КГЦМ)'!M61</f>
        <v>0</v>
      </c>
      <c r="P43" s="453">
        <f>'[5]Гр.замены (КГЦМ)'!N61</f>
        <v>0</v>
      </c>
      <c r="Q43" s="453">
        <f>'[5]Гр.замены (КГЦМ)'!O61</f>
        <v>2</v>
      </c>
      <c r="R43" s="453">
        <f>'[5]Гр.замены (КГЦМ)'!P61</f>
        <v>0</v>
      </c>
      <c r="S43" s="453">
        <f>'[5]Гр.замены (КГЦМ)'!Q61</f>
        <v>0</v>
      </c>
      <c r="T43" s="443"/>
    </row>
    <row r="44" spans="1:20" ht="15.6" x14ac:dyDescent="0.3">
      <c r="A44" s="454"/>
      <c r="B44" s="455" t="s">
        <v>454</v>
      </c>
      <c r="C44" s="456" t="s">
        <v>455</v>
      </c>
      <c r="D44" s="457">
        <f>'[11]46104070_К9'!$G$25/1000</f>
        <v>19978.398000000001</v>
      </c>
      <c r="E44" s="458">
        <f t="shared" ref="E44:S44" si="8">$D44*E43</f>
        <v>0</v>
      </c>
      <c r="F44" s="458">
        <f t="shared" si="8"/>
        <v>0</v>
      </c>
      <c r="G44" s="458"/>
      <c r="H44" s="458">
        <f t="shared" si="8"/>
        <v>0</v>
      </c>
      <c r="I44" s="458">
        <f t="shared" si="8"/>
        <v>0</v>
      </c>
      <c r="J44" s="458">
        <f t="shared" si="8"/>
        <v>0</v>
      </c>
      <c r="K44" s="458">
        <f t="shared" si="8"/>
        <v>0</v>
      </c>
      <c r="L44" s="458">
        <f t="shared" si="8"/>
        <v>0</v>
      </c>
      <c r="M44" s="458">
        <f t="shared" si="8"/>
        <v>39956.796000000002</v>
      </c>
      <c r="N44" s="458">
        <f t="shared" si="8"/>
        <v>0</v>
      </c>
      <c r="O44" s="458">
        <f t="shared" si="8"/>
        <v>0</v>
      </c>
      <c r="P44" s="458">
        <f t="shared" si="8"/>
        <v>0</v>
      </c>
      <c r="Q44" s="458">
        <f t="shared" si="8"/>
        <v>39956.796000000002</v>
      </c>
      <c r="R44" s="458">
        <f t="shared" si="8"/>
        <v>0</v>
      </c>
      <c r="S44" s="458">
        <f t="shared" si="8"/>
        <v>0</v>
      </c>
      <c r="T44" s="459">
        <f>SUM(E44:S44)</f>
        <v>79913.592000000004</v>
      </c>
    </row>
    <row r="45" spans="1:20" ht="15.6" x14ac:dyDescent="0.3">
      <c r="A45" s="466" t="s">
        <v>467</v>
      </c>
      <c r="B45" s="467" t="s">
        <v>470</v>
      </c>
      <c r="C45" s="441"/>
      <c r="D45" s="446"/>
      <c r="E45" s="447"/>
      <c r="F45" s="447"/>
      <c r="G45" s="447"/>
      <c r="H45" s="447"/>
      <c r="I45" s="447"/>
      <c r="J45" s="447"/>
      <c r="K45" s="447"/>
      <c r="L45" s="447"/>
      <c r="M45" s="447"/>
      <c r="N45" s="447"/>
      <c r="O45" s="447"/>
      <c r="P45" s="447"/>
      <c r="Q45" s="447"/>
      <c r="R45" s="447"/>
      <c r="S45" s="447"/>
      <c r="T45" s="443"/>
    </row>
    <row r="46" spans="1:20" ht="15.6" x14ac:dyDescent="0.3">
      <c r="A46" s="460"/>
      <c r="B46" s="449" t="s">
        <v>451</v>
      </c>
      <c r="C46" s="450" t="s">
        <v>452</v>
      </c>
      <c r="D46" s="451"/>
      <c r="E46" s="452">
        <f>'[5]Гр.замены (КГЦМ)'!D63</f>
        <v>0</v>
      </c>
      <c r="F46" s="452">
        <f>'[5]Гр.замены (КГЦМ)'!E63</f>
        <v>0</v>
      </c>
      <c r="G46" s="452"/>
      <c r="H46" s="452">
        <f>'[5]Гр.замены (КГЦМ)'!F63</f>
        <v>0</v>
      </c>
      <c r="I46" s="452">
        <f>'[5]Гр.замены (КГЦМ)'!G63</f>
        <v>0</v>
      </c>
      <c r="J46" s="452">
        <f>'[5]Гр.замены (КГЦМ)'!H63</f>
        <v>2</v>
      </c>
      <c r="K46" s="452">
        <f>'[5]Гр.замены (КГЦМ)'!I63</f>
        <v>2</v>
      </c>
      <c r="L46" s="452">
        <f>'[5]Гр.замены (КГЦМ)'!J63</f>
        <v>2</v>
      </c>
      <c r="M46" s="452">
        <f>'[5]Гр.замены (КГЦМ)'!K63</f>
        <v>2</v>
      </c>
      <c r="N46" s="452">
        <f>'[5]Гр.замены (КГЦМ)'!L63</f>
        <v>2</v>
      </c>
      <c r="O46" s="452">
        <f>'[5]Гр.замены (КГЦМ)'!M63</f>
        <v>2</v>
      </c>
      <c r="P46" s="452">
        <f>'[5]Гр.замены (КГЦМ)'!N63</f>
        <v>2</v>
      </c>
      <c r="Q46" s="452">
        <f>'[5]Гр.замены (КГЦМ)'!O63</f>
        <v>2</v>
      </c>
      <c r="R46" s="452">
        <f>'[5]Гр.замены (КГЦМ)'!P63</f>
        <v>2</v>
      </c>
      <c r="S46" s="452">
        <f>'[5]Гр.замены (КГЦМ)'!Q63</f>
        <v>2</v>
      </c>
      <c r="T46" s="443"/>
    </row>
    <row r="47" spans="1:20" ht="15.6" x14ac:dyDescent="0.3">
      <c r="A47" s="448"/>
      <c r="B47" s="449" t="s">
        <v>453</v>
      </c>
      <c r="C47" s="450" t="s">
        <v>452</v>
      </c>
      <c r="D47" s="443"/>
      <c r="E47" s="453">
        <f>'[5]Гр.замены (КГЦМ)'!D64</f>
        <v>0</v>
      </c>
      <c r="F47" s="453">
        <f>'[5]Гр.замены (КГЦМ)'!E64</f>
        <v>0</v>
      </c>
      <c r="G47" s="453"/>
      <c r="H47" s="453">
        <f>'[5]Гр.замены (КГЦМ)'!F64</f>
        <v>0</v>
      </c>
      <c r="I47" s="453">
        <f>'[5]Гр.замены (КГЦМ)'!G64</f>
        <v>0</v>
      </c>
      <c r="J47" s="453">
        <f>'[5]Гр.замены (КГЦМ)'!H64</f>
        <v>0</v>
      </c>
      <c r="K47" s="453">
        <f>'[5]Гр.замены (КГЦМ)'!I64</f>
        <v>0</v>
      </c>
      <c r="L47" s="453">
        <f>'[5]Гр.замены (КГЦМ)'!J64</f>
        <v>0</v>
      </c>
      <c r="M47" s="453">
        <f>'[5]Гр.замены (КГЦМ)'!K64</f>
        <v>0</v>
      </c>
      <c r="N47" s="453">
        <f>'[5]Гр.замены (КГЦМ)'!L64</f>
        <v>2</v>
      </c>
      <c r="O47" s="453">
        <f>'[5]Гр.замены (КГЦМ)'!M64</f>
        <v>0</v>
      </c>
      <c r="P47" s="453">
        <f>'[5]Гр.замены (КГЦМ)'!N64</f>
        <v>0</v>
      </c>
      <c r="Q47" s="453">
        <f>'[5]Гр.замены (КГЦМ)'!O64</f>
        <v>0</v>
      </c>
      <c r="R47" s="453">
        <f>'[5]Гр.замены (КГЦМ)'!P64</f>
        <v>2</v>
      </c>
      <c r="S47" s="453">
        <f>'[5]Гр.замены (КГЦМ)'!Q64</f>
        <v>0</v>
      </c>
      <c r="T47" s="443"/>
    </row>
    <row r="48" spans="1:20" ht="15.6" x14ac:dyDescent="0.3">
      <c r="A48" s="454"/>
      <c r="B48" s="455" t="s">
        <v>454</v>
      </c>
      <c r="C48" s="456" t="s">
        <v>455</v>
      </c>
      <c r="D48" s="457">
        <f>'[12]46104080_К9'!$G$25/1000</f>
        <v>11684.926439999999</v>
      </c>
      <c r="E48" s="458">
        <f t="shared" ref="E48:S48" si="9">$D48*E47</f>
        <v>0</v>
      </c>
      <c r="F48" s="458">
        <f t="shared" si="9"/>
        <v>0</v>
      </c>
      <c r="G48" s="458"/>
      <c r="H48" s="458">
        <f t="shared" si="9"/>
        <v>0</v>
      </c>
      <c r="I48" s="458">
        <f t="shared" si="9"/>
        <v>0</v>
      </c>
      <c r="J48" s="458">
        <f t="shared" si="9"/>
        <v>0</v>
      </c>
      <c r="K48" s="458">
        <f t="shared" si="9"/>
        <v>0</v>
      </c>
      <c r="L48" s="458">
        <f t="shared" si="9"/>
        <v>0</v>
      </c>
      <c r="M48" s="458">
        <f t="shared" si="9"/>
        <v>0</v>
      </c>
      <c r="N48" s="458">
        <f t="shared" si="9"/>
        <v>23369.852879999999</v>
      </c>
      <c r="O48" s="458">
        <f t="shared" si="9"/>
        <v>0</v>
      </c>
      <c r="P48" s="458">
        <f t="shared" si="9"/>
        <v>0</v>
      </c>
      <c r="Q48" s="458">
        <f t="shared" si="9"/>
        <v>0</v>
      </c>
      <c r="R48" s="458">
        <f t="shared" si="9"/>
        <v>23369.852879999999</v>
      </c>
      <c r="S48" s="458">
        <f t="shared" si="9"/>
        <v>0</v>
      </c>
      <c r="T48" s="459">
        <f>SUM(E48:S48)</f>
        <v>46739.705759999997</v>
      </c>
    </row>
    <row r="49" spans="1:22" ht="15.6" x14ac:dyDescent="0.3">
      <c r="A49" s="466" t="s">
        <v>471</v>
      </c>
      <c r="B49" s="467"/>
      <c r="C49" s="441"/>
      <c r="D49" s="446"/>
      <c r="E49" s="447"/>
      <c r="F49" s="447"/>
      <c r="G49" s="447"/>
      <c r="H49" s="447"/>
      <c r="I49" s="447"/>
      <c r="J49" s="447"/>
      <c r="K49" s="447"/>
      <c r="L49" s="447"/>
      <c r="M49" s="447"/>
      <c r="N49" s="447"/>
      <c r="O49" s="447"/>
      <c r="P49" s="447"/>
      <c r="Q49" s="447"/>
      <c r="R49" s="447"/>
      <c r="S49" s="447"/>
      <c r="T49" s="443"/>
    </row>
    <row r="50" spans="1:22" ht="15.6" x14ac:dyDescent="0.3">
      <c r="A50" s="460"/>
      <c r="B50" s="449" t="s">
        <v>451</v>
      </c>
      <c r="C50" s="450" t="s">
        <v>452</v>
      </c>
      <c r="D50" s="451"/>
      <c r="E50" s="452">
        <f>'[5]Гр.замены (КГЦМ)'!D66</f>
        <v>1</v>
      </c>
      <c r="F50" s="452">
        <f>'[5]Гр.замены (КГЦМ)'!E66</f>
        <v>1</v>
      </c>
      <c r="G50" s="452"/>
      <c r="H50" s="452">
        <f>'[5]Гр.замены (КГЦМ)'!F66</f>
        <v>1</v>
      </c>
      <c r="I50" s="452">
        <f>'[5]Гр.замены (КГЦМ)'!G66</f>
        <v>1</v>
      </c>
      <c r="J50" s="452">
        <f>'[5]Гр.замены (КГЦМ)'!H66</f>
        <v>1</v>
      </c>
      <c r="K50" s="452">
        <f>'[5]Гр.замены (КГЦМ)'!I66</f>
        <v>1</v>
      </c>
      <c r="L50" s="452">
        <f>'[5]Гр.замены (КГЦМ)'!J66</f>
        <v>1</v>
      </c>
      <c r="M50" s="452">
        <f>'[5]Гр.замены (КГЦМ)'!K66</f>
        <v>1</v>
      </c>
      <c r="N50" s="452">
        <f>'[5]Гр.замены (КГЦМ)'!L66</f>
        <v>1</v>
      </c>
      <c r="O50" s="452">
        <f>'[5]Гр.замены (КГЦМ)'!M66</f>
        <v>1</v>
      </c>
      <c r="P50" s="452">
        <f>'[5]Гр.замены (КГЦМ)'!N66</f>
        <v>1</v>
      </c>
      <c r="Q50" s="452">
        <f>'[5]Гр.замены (КГЦМ)'!O66</f>
        <v>1</v>
      </c>
      <c r="R50" s="452">
        <f>'[5]Гр.замены (КГЦМ)'!P66</f>
        <v>1</v>
      </c>
      <c r="S50" s="452">
        <f>'[5]Гр.замены (КГЦМ)'!Q66</f>
        <v>1</v>
      </c>
      <c r="T50" s="443"/>
    </row>
    <row r="51" spans="1:22" ht="15.6" x14ac:dyDescent="0.3">
      <c r="A51" s="448"/>
      <c r="B51" s="449" t="s">
        <v>453</v>
      </c>
      <c r="C51" s="450" t="s">
        <v>452</v>
      </c>
      <c r="D51" s="443"/>
      <c r="E51" s="453">
        <f>'[5]Гр.замены (КГЦМ)'!D67</f>
        <v>0</v>
      </c>
      <c r="F51" s="453">
        <f>'[5]Гр.замены (КГЦМ)'!E67</f>
        <v>0</v>
      </c>
      <c r="G51" s="453"/>
      <c r="H51" s="453">
        <f>'[5]Гр.замены (КГЦМ)'!F67</f>
        <v>0</v>
      </c>
      <c r="I51" s="453">
        <f>'[5]Гр.замены (КГЦМ)'!G67</f>
        <v>0</v>
      </c>
      <c r="J51" s="453">
        <f>'[5]Гр.замены (КГЦМ)'!H67</f>
        <v>1</v>
      </c>
      <c r="K51" s="453">
        <f>'[5]Гр.замены (КГЦМ)'!I67</f>
        <v>0</v>
      </c>
      <c r="L51" s="453">
        <f>'[5]Гр.замены (КГЦМ)'!J67</f>
        <v>0</v>
      </c>
      <c r="M51" s="453">
        <f>'[5]Гр.замены (КГЦМ)'!K67</f>
        <v>0</v>
      </c>
      <c r="N51" s="453">
        <f>'[5]Гр.замены (КГЦМ)'!L67</f>
        <v>0</v>
      </c>
      <c r="O51" s="453">
        <f>'[5]Гр.замены (КГЦМ)'!M67</f>
        <v>1</v>
      </c>
      <c r="P51" s="453">
        <f>'[5]Гр.замены (КГЦМ)'!N67</f>
        <v>0</v>
      </c>
      <c r="Q51" s="453">
        <f>'[5]Гр.замены (КГЦМ)'!O67</f>
        <v>0</v>
      </c>
      <c r="R51" s="453">
        <f>'[5]Гр.замены (КГЦМ)'!P67</f>
        <v>0</v>
      </c>
      <c r="S51" s="453">
        <f>'[5]Гр.замены (КГЦМ)'!Q67</f>
        <v>0</v>
      </c>
      <c r="T51" s="443"/>
    </row>
    <row r="52" spans="1:22" ht="15.6" x14ac:dyDescent="0.3">
      <c r="A52" s="454"/>
      <c r="B52" s="455" t="s">
        <v>454</v>
      </c>
      <c r="C52" s="456" t="s">
        <v>455</v>
      </c>
      <c r="D52" s="457">
        <f>'[13]46104130_К9'!$G$25/1000</f>
        <v>559310.86464000004</v>
      </c>
      <c r="E52" s="458">
        <f t="shared" ref="E52:S52" si="10">$D52*E51</f>
        <v>0</v>
      </c>
      <c r="F52" s="458">
        <f t="shared" si="10"/>
        <v>0</v>
      </c>
      <c r="G52" s="458"/>
      <c r="H52" s="458">
        <f t="shared" si="10"/>
        <v>0</v>
      </c>
      <c r="I52" s="458">
        <f t="shared" si="10"/>
        <v>0</v>
      </c>
      <c r="J52" s="458">
        <f t="shared" si="10"/>
        <v>559310.86464000004</v>
      </c>
      <c r="K52" s="458">
        <f t="shared" si="10"/>
        <v>0</v>
      </c>
      <c r="L52" s="458">
        <f t="shared" si="10"/>
        <v>0</v>
      </c>
      <c r="M52" s="458">
        <f t="shared" si="10"/>
        <v>0</v>
      </c>
      <c r="N52" s="458">
        <f t="shared" si="10"/>
        <v>0</v>
      </c>
      <c r="O52" s="458">
        <f t="shared" si="10"/>
        <v>559310.86464000004</v>
      </c>
      <c r="P52" s="458">
        <f t="shared" si="10"/>
        <v>0</v>
      </c>
      <c r="Q52" s="458">
        <f t="shared" si="10"/>
        <v>0</v>
      </c>
      <c r="R52" s="458">
        <f t="shared" si="10"/>
        <v>0</v>
      </c>
      <c r="S52" s="458">
        <f t="shared" si="10"/>
        <v>0</v>
      </c>
      <c r="T52" s="459">
        <f>SUM(E52:S52)</f>
        <v>1118621.7292800001</v>
      </c>
    </row>
    <row r="53" spans="1:22" x14ac:dyDescent="0.3">
      <c r="A53" s="468"/>
      <c r="B53" s="469"/>
      <c r="C53" s="441"/>
      <c r="D53" s="443"/>
      <c r="E53" s="447"/>
      <c r="F53" s="447"/>
      <c r="G53" s="725" t="s">
        <v>515</v>
      </c>
      <c r="H53" s="447"/>
      <c r="I53" s="447"/>
      <c r="J53" s="447"/>
      <c r="K53" s="447"/>
      <c r="L53" s="447"/>
      <c r="M53" s="447"/>
      <c r="N53" s="447"/>
      <c r="O53" s="447"/>
      <c r="P53" s="447"/>
      <c r="Q53" s="447"/>
      <c r="R53" s="447"/>
      <c r="S53" s="447"/>
      <c r="T53" s="447"/>
    </row>
    <row r="54" spans="1:22" x14ac:dyDescent="0.3">
      <c r="A54" s="470"/>
      <c r="B54" s="471" t="s">
        <v>472</v>
      </c>
      <c r="C54" s="441"/>
      <c r="D54" s="472"/>
      <c r="E54" s="473">
        <f>E11+E15+E19+E23+E27+E31+E35+E40+E44+E48+E52</f>
        <v>0</v>
      </c>
      <c r="F54" s="473">
        <f t="shared" ref="F54:T54" si="11">F11+F15+F19+F23+F27+F31+F35+F40+F44+F48+F52</f>
        <v>759.56894999999986</v>
      </c>
      <c r="G54" s="726"/>
      <c r="H54" s="473">
        <f t="shared" si="11"/>
        <v>759.56894999999986</v>
      </c>
      <c r="I54" s="473">
        <f t="shared" si="11"/>
        <v>117706.28895</v>
      </c>
      <c r="J54" s="473">
        <f t="shared" si="11"/>
        <v>601251.64010586229</v>
      </c>
      <c r="K54" s="473">
        <f t="shared" si="11"/>
        <v>370663.60359999997</v>
      </c>
      <c r="L54" s="473">
        <f t="shared" si="11"/>
        <v>124706.85093483908</v>
      </c>
      <c r="M54" s="473">
        <f t="shared" si="11"/>
        <v>427220.88546999998</v>
      </c>
      <c r="N54" s="473">
        <f t="shared" si="11"/>
        <v>26328.388345862262</v>
      </c>
      <c r="O54" s="473">
        <f t="shared" si="11"/>
        <v>560070.43359000003</v>
      </c>
      <c r="P54" s="473">
        <f t="shared" si="11"/>
        <v>370663.60359999997</v>
      </c>
      <c r="Q54" s="473">
        <f t="shared" si="11"/>
        <v>271070.40888999996</v>
      </c>
      <c r="R54" s="473">
        <f t="shared" si="11"/>
        <v>23591.369459999998</v>
      </c>
      <c r="S54" s="473">
        <f t="shared" si="11"/>
        <v>221.51657999999998</v>
      </c>
      <c r="T54" s="473">
        <f t="shared" si="11"/>
        <v>2895014.1274265638</v>
      </c>
      <c r="U54" s="474">
        <f>SUM(E54:S54)</f>
        <v>2895014.1274265642</v>
      </c>
      <c r="V54" s="475"/>
    </row>
    <row r="55" spans="1:22" x14ac:dyDescent="0.3">
      <c r="A55" s="476"/>
      <c r="B55" s="477" t="s">
        <v>473</v>
      </c>
      <c r="C55" s="478"/>
      <c r="D55" s="479"/>
      <c r="E55" s="480">
        <f t="shared" ref="E55:T55" si="12">E54/$T$1</f>
        <v>0</v>
      </c>
      <c r="F55" s="480">
        <f t="shared" si="12"/>
        <v>1.8989223749999997</v>
      </c>
      <c r="G55" s="727"/>
      <c r="H55" s="480">
        <f t="shared" si="12"/>
        <v>1.8989223749999997</v>
      </c>
      <c r="I55" s="480">
        <f t="shared" si="12"/>
        <v>294.265722375</v>
      </c>
      <c r="J55" s="480">
        <f t="shared" si="12"/>
        <v>1503.1291002646558</v>
      </c>
      <c r="K55" s="480">
        <f t="shared" si="12"/>
        <v>926.65900899999997</v>
      </c>
      <c r="L55" s="480">
        <f t="shared" si="12"/>
        <v>311.76712733709769</v>
      </c>
      <c r="M55" s="480">
        <f t="shared" si="12"/>
        <v>1068.0522136749998</v>
      </c>
      <c r="N55" s="480">
        <f t="shared" si="12"/>
        <v>65.820970864655649</v>
      </c>
      <c r="O55" s="480">
        <f t="shared" si="12"/>
        <v>1400.176083975</v>
      </c>
      <c r="P55" s="480">
        <f t="shared" si="12"/>
        <v>926.65900899999997</v>
      </c>
      <c r="Q55" s="480">
        <f t="shared" si="12"/>
        <v>677.67602222499988</v>
      </c>
      <c r="R55" s="480">
        <f t="shared" si="12"/>
        <v>58.978423649999996</v>
      </c>
      <c r="S55" s="480">
        <f t="shared" si="12"/>
        <v>0.55379144999999996</v>
      </c>
      <c r="T55" s="481">
        <f t="shared" si="12"/>
        <v>7237.5353185664098</v>
      </c>
      <c r="U55" s="482">
        <f>U54/T1/1000</f>
        <v>7.2375353185664109</v>
      </c>
      <c r="V55" s="475"/>
    </row>
    <row r="57" spans="1:22" s="485" customFormat="1" ht="15.6" hidden="1" x14ac:dyDescent="0.25">
      <c r="A57" s="483" t="s">
        <v>448</v>
      </c>
      <c r="B57" s="484"/>
      <c r="E57" s="486">
        <f>E11+E15+E19+E23+E27+E31+E35</f>
        <v>0</v>
      </c>
      <c r="F57" s="486">
        <f t="shared" ref="F57:S57" si="13">F11+F15+F19+F23+F27+F31+F35</f>
        <v>759.56894999999986</v>
      </c>
      <c r="G57" s="486"/>
      <c r="H57" s="486">
        <f t="shared" si="13"/>
        <v>759.56894999999986</v>
      </c>
      <c r="I57" s="486">
        <f t="shared" si="13"/>
        <v>117706.28895</v>
      </c>
      <c r="J57" s="486">
        <f t="shared" si="13"/>
        <v>41940.775465862265</v>
      </c>
      <c r="K57" s="486">
        <f t="shared" si="13"/>
        <v>370663.60359999997</v>
      </c>
      <c r="L57" s="486">
        <f t="shared" si="13"/>
        <v>124706.85093483908</v>
      </c>
      <c r="M57" s="486">
        <f t="shared" si="13"/>
        <v>279264.08947000001</v>
      </c>
      <c r="N57" s="486">
        <f t="shared" si="13"/>
        <v>2958.5354658622646</v>
      </c>
      <c r="O57" s="486">
        <f t="shared" si="13"/>
        <v>759.56894999999986</v>
      </c>
      <c r="P57" s="486">
        <f t="shared" si="13"/>
        <v>370663.60359999997</v>
      </c>
      <c r="Q57" s="486">
        <f t="shared" si="13"/>
        <v>123113.61289</v>
      </c>
      <c r="R57" s="486">
        <f t="shared" si="13"/>
        <v>221.51657999999998</v>
      </c>
      <c r="S57" s="486">
        <f t="shared" si="13"/>
        <v>221.51657999999998</v>
      </c>
      <c r="T57" s="486">
        <f>T11+T15+T19+T23+T27+T31+T35</f>
        <v>1433739.1003865635</v>
      </c>
    </row>
    <row r="58" spans="1:22" s="485" customFormat="1" ht="15.6" hidden="1" x14ac:dyDescent="0.25">
      <c r="A58" s="483" t="s">
        <v>466</v>
      </c>
      <c r="B58" s="484"/>
      <c r="E58" s="486">
        <f>E40+E44+E48+E52</f>
        <v>0</v>
      </c>
      <c r="F58" s="486">
        <f t="shared" ref="F58:T58" si="14">F40+F44+F48+F52</f>
        <v>0</v>
      </c>
      <c r="G58" s="486"/>
      <c r="H58" s="486">
        <f t="shared" si="14"/>
        <v>0</v>
      </c>
      <c r="I58" s="486">
        <f t="shared" si="14"/>
        <v>0</v>
      </c>
      <c r="J58" s="486">
        <f t="shared" si="14"/>
        <v>559310.86464000004</v>
      </c>
      <c r="K58" s="486">
        <f t="shared" si="14"/>
        <v>0</v>
      </c>
      <c r="L58" s="486">
        <f t="shared" si="14"/>
        <v>0</v>
      </c>
      <c r="M58" s="486">
        <f t="shared" si="14"/>
        <v>147956.796</v>
      </c>
      <c r="N58" s="486">
        <f t="shared" si="14"/>
        <v>23369.852879999999</v>
      </c>
      <c r="O58" s="486">
        <f t="shared" si="14"/>
        <v>559310.86464000004</v>
      </c>
      <c r="P58" s="486">
        <f t="shared" si="14"/>
        <v>0</v>
      </c>
      <c r="Q58" s="486">
        <f t="shared" si="14"/>
        <v>147956.796</v>
      </c>
      <c r="R58" s="486">
        <f t="shared" si="14"/>
        <v>23369.852879999999</v>
      </c>
      <c r="S58" s="486">
        <f t="shared" si="14"/>
        <v>0</v>
      </c>
      <c r="T58" s="486">
        <f t="shared" si="14"/>
        <v>1461275.0270400001</v>
      </c>
    </row>
    <row r="59" spans="1:22" hidden="1" x14ac:dyDescent="0.3">
      <c r="E59" s="487"/>
      <c r="F59" s="487"/>
      <c r="G59" s="487"/>
      <c r="H59" s="487"/>
      <c r="I59" s="487"/>
      <c r="J59" s="487"/>
      <c r="K59" s="487"/>
      <c r="L59" s="487"/>
      <c r="M59" s="487"/>
      <c r="N59" s="487"/>
      <c r="O59" s="487"/>
      <c r="P59" s="487"/>
      <c r="Q59" s="487"/>
      <c r="R59" s="487"/>
      <c r="S59" s="487"/>
      <c r="T59" s="488">
        <f>SUM(T57:T58)</f>
        <v>2895014.1274265638</v>
      </c>
      <c r="U59" s="489">
        <f>T54-T59</f>
        <v>0</v>
      </c>
    </row>
    <row r="60" spans="1:22" hidden="1" x14ac:dyDescent="0.3">
      <c r="A60" s="490"/>
      <c r="B60" s="490"/>
      <c r="E60" s="491"/>
      <c r="F60" s="491"/>
      <c r="G60" s="491"/>
      <c r="H60" s="491"/>
      <c r="I60" s="491"/>
      <c r="J60" s="491"/>
      <c r="K60" s="491"/>
      <c r="L60" s="491"/>
      <c r="M60" s="491"/>
      <c r="N60" s="491"/>
      <c r="O60" s="491"/>
      <c r="P60" s="491"/>
      <c r="Q60" s="491"/>
      <c r="R60" s="491"/>
      <c r="S60" s="491"/>
      <c r="T60" s="488"/>
    </row>
    <row r="61" spans="1:22" x14ac:dyDescent="0.3">
      <c r="A61" s="490"/>
      <c r="B61" s="490"/>
      <c r="E61" s="491"/>
      <c r="F61" s="491"/>
      <c r="G61" s="491"/>
      <c r="H61" s="491"/>
      <c r="I61" s="491"/>
      <c r="J61" s="491"/>
      <c r="K61" s="491"/>
      <c r="L61" s="491"/>
      <c r="M61" s="491"/>
      <c r="N61" s="491"/>
      <c r="O61" s="491"/>
      <c r="P61" s="491"/>
      <c r="Q61" s="491"/>
      <c r="R61" s="491"/>
      <c r="S61" s="491"/>
      <c r="T61" s="488"/>
    </row>
    <row r="62" spans="1:22" x14ac:dyDescent="0.3">
      <c r="E62" s="487"/>
      <c r="F62" s="487"/>
      <c r="G62" s="487"/>
      <c r="H62" s="487"/>
      <c r="I62" s="487"/>
      <c r="J62" s="487"/>
      <c r="K62" s="487"/>
      <c r="L62" s="487"/>
      <c r="M62" s="487"/>
      <c r="N62" s="487"/>
      <c r="O62" s="487"/>
      <c r="P62" s="487"/>
      <c r="Q62" s="487"/>
      <c r="R62" s="487"/>
      <c r="S62" s="487"/>
      <c r="T62" s="488"/>
    </row>
    <row r="63" spans="1:22" x14ac:dyDescent="0.3">
      <c r="A63" s="490"/>
      <c r="B63" s="490"/>
      <c r="E63" s="491"/>
      <c r="F63" s="491"/>
      <c r="G63" s="491"/>
      <c r="H63" s="491"/>
      <c r="I63" s="491"/>
      <c r="J63" s="491"/>
      <c r="K63" s="491"/>
      <c r="L63" s="491"/>
      <c r="M63" s="491"/>
      <c r="N63" s="491"/>
      <c r="O63" s="491"/>
      <c r="P63" s="491"/>
      <c r="Q63" s="491"/>
      <c r="R63" s="491"/>
      <c r="S63" s="491"/>
      <c r="T63" s="488"/>
    </row>
    <row r="64" spans="1:22" x14ac:dyDescent="0.3">
      <c r="A64" s="490"/>
      <c r="B64" s="490"/>
      <c r="E64" s="491"/>
      <c r="F64" s="491"/>
      <c r="G64" s="491"/>
      <c r="H64" s="491"/>
      <c r="I64" s="491"/>
      <c r="J64" s="491"/>
      <c r="K64" s="491"/>
      <c r="L64" s="491"/>
      <c r="M64" s="491"/>
      <c r="N64" s="491"/>
      <c r="O64" s="491"/>
      <c r="P64" s="491"/>
      <c r="Q64" s="491"/>
      <c r="R64" s="491"/>
      <c r="S64" s="491"/>
      <c r="T64" s="488"/>
    </row>
    <row r="65" spans="1:21" x14ac:dyDescent="0.3">
      <c r="E65" s="487"/>
      <c r="F65" s="487"/>
      <c r="G65" s="487"/>
      <c r="H65" s="487"/>
      <c r="I65" s="487"/>
      <c r="J65" s="487"/>
      <c r="K65" s="487"/>
      <c r="L65" s="487"/>
      <c r="M65" s="487"/>
      <c r="N65" s="487"/>
      <c r="O65" s="487"/>
      <c r="P65" s="487"/>
      <c r="Q65" s="487"/>
      <c r="R65" s="487"/>
      <c r="S65" s="487"/>
      <c r="T65" s="488"/>
    </row>
    <row r="66" spans="1:21" x14ac:dyDescent="0.3">
      <c r="A66" s="490"/>
      <c r="B66" s="490"/>
      <c r="E66" s="491"/>
      <c r="F66" s="491"/>
      <c r="G66" s="491"/>
      <c r="H66" s="491"/>
      <c r="I66" s="491"/>
      <c r="J66" s="491"/>
      <c r="K66" s="491"/>
      <c r="L66" s="491"/>
      <c r="M66" s="491"/>
      <c r="N66" s="491"/>
      <c r="O66" s="491"/>
      <c r="P66" s="491"/>
      <c r="Q66" s="491"/>
      <c r="R66" s="491"/>
      <c r="S66" s="491"/>
      <c r="T66" s="488"/>
    </row>
    <row r="67" spans="1:21" x14ac:dyDescent="0.3">
      <c r="A67" s="490"/>
      <c r="B67" s="490"/>
      <c r="E67" s="491"/>
      <c r="F67" s="491"/>
      <c r="G67" s="491"/>
      <c r="H67" s="491"/>
      <c r="I67" s="491"/>
      <c r="J67" s="491"/>
      <c r="K67" s="491"/>
      <c r="L67" s="491"/>
      <c r="M67" s="491"/>
      <c r="N67" s="491"/>
      <c r="O67" s="491"/>
      <c r="P67" s="491"/>
      <c r="Q67" s="491"/>
      <c r="R67" s="491"/>
      <c r="S67" s="491"/>
      <c r="T67" s="488"/>
    </row>
    <row r="68" spans="1:21" x14ac:dyDescent="0.3">
      <c r="E68" s="492"/>
      <c r="F68" s="492"/>
      <c r="G68" s="492"/>
      <c r="H68" s="492"/>
      <c r="I68" s="492"/>
      <c r="J68" s="492"/>
      <c r="K68" s="492"/>
      <c r="L68" s="492"/>
      <c r="M68" s="492"/>
      <c r="N68" s="492"/>
      <c r="O68" s="492"/>
      <c r="P68" s="492"/>
      <c r="Q68" s="492"/>
      <c r="R68" s="492"/>
      <c r="S68" s="492"/>
      <c r="T68" s="488"/>
    </row>
    <row r="69" spans="1:21" x14ac:dyDescent="0.3">
      <c r="T69" s="488"/>
    </row>
    <row r="70" spans="1:21" x14ac:dyDescent="0.3">
      <c r="E70" s="493"/>
      <c r="F70" s="493"/>
      <c r="G70" s="493"/>
      <c r="H70" s="493"/>
      <c r="I70" s="493"/>
      <c r="J70" s="493"/>
      <c r="K70" s="493"/>
      <c r="L70" s="493"/>
      <c r="M70" s="493"/>
      <c r="N70" s="493"/>
      <c r="O70" s="493"/>
      <c r="P70" s="493"/>
      <c r="Q70" s="493"/>
      <c r="R70" s="493"/>
      <c r="S70" s="493"/>
      <c r="T70" s="488"/>
    </row>
    <row r="72" spans="1:21" x14ac:dyDescent="0.3">
      <c r="A72" s="494"/>
      <c r="B72" s="494"/>
    </row>
    <row r="73" spans="1:21" x14ac:dyDescent="0.3">
      <c r="E73" s="487"/>
      <c r="F73" s="487"/>
      <c r="G73" s="487"/>
      <c r="H73" s="487"/>
      <c r="T73" s="487"/>
    </row>
    <row r="74" spans="1:21" x14ac:dyDescent="0.3">
      <c r="A74" s="490"/>
      <c r="B74" s="490"/>
      <c r="E74" s="495"/>
      <c r="F74" s="495"/>
      <c r="G74" s="495"/>
      <c r="H74" s="495"/>
      <c r="T74" s="487"/>
      <c r="U74" s="496"/>
    </row>
    <row r="75" spans="1:21" x14ac:dyDescent="0.3">
      <c r="A75" s="490"/>
      <c r="B75" s="490"/>
      <c r="T75" s="487"/>
      <c r="U75" s="496"/>
    </row>
    <row r="76" spans="1:21" x14ac:dyDescent="0.3">
      <c r="E76" s="487"/>
      <c r="F76" s="487"/>
      <c r="G76" s="487"/>
      <c r="H76" s="487"/>
      <c r="T76" s="487"/>
    </row>
    <row r="77" spans="1:21" x14ac:dyDescent="0.3">
      <c r="A77" s="490"/>
      <c r="B77" s="490"/>
      <c r="T77" s="487"/>
      <c r="U77" s="496"/>
    </row>
    <row r="78" spans="1:21" x14ac:dyDescent="0.3">
      <c r="A78" s="490"/>
      <c r="B78" s="490"/>
      <c r="T78" s="487"/>
      <c r="U78" s="496"/>
    </row>
    <row r="79" spans="1:21" x14ac:dyDescent="0.3">
      <c r="E79" s="487"/>
      <c r="F79" s="487"/>
      <c r="G79" s="487"/>
      <c r="H79" s="487"/>
      <c r="T79" s="487"/>
    </row>
    <row r="80" spans="1:21" x14ac:dyDescent="0.3">
      <c r="A80" s="490"/>
      <c r="B80" s="490"/>
      <c r="T80" s="487"/>
      <c r="U80" s="496"/>
    </row>
    <row r="81" spans="1:21" x14ac:dyDescent="0.3">
      <c r="A81" s="490"/>
      <c r="B81" s="490"/>
      <c r="E81" s="492"/>
      <c r="F81" s="492"/>
      <c r="G81" s="492"/>
      <c r="H81" s="492"/>
      <c r="T81" s="487"/>
      <c r="U81" s="496"/>
    </row>
    <row r="82" spans="1:21" x14ac:dyDescent="0.3">
      <c r="T82" s="487"/>
    </row>
    <row r="83" spans="1:21" x14ac:dyDescent="0.3">
      <c r="A83" s="490"/>
      <c r="B83" s="490"/>
      <c r="E83" s="493"/>
      <c r="F83" s="493"/>
      <c r="G83" s="493"/>
      <c r="H83" s="493"/>
      <c r="T83" s="487"/>
      <c r="U83" s="496"/>
    </row>
    <row r="84" spans="1:21" x14ac:dyDescent="0.3">
      <c r="A84" s="490"/>
      <c r="B84" s="490"/>
      <c r="T84" s="487"/>
    </row>
    <row r="85" spans="1:21" x14ac:dyDescent="0.3">
      <c r="T85" s="487"/>
      <c r="U85" s="496"/>
    </row>
    <row r="86" spans="1:21" x14ac:dyDescent="0.3">
      <c r="A86" s="490"/>
      <c r="B86" s="490"/>
      <c r="E86" s="487"/>
      <c r="F86" s="487"/>
      <c r="G86" s="487"/>
      <c r="H86" s="487"/>
      <c r="I86" s="487"/>
      <c r="J86" s="487"/>
      <c r="K86" s="487"/>
      <c r="L86" s="487"/>
      <c r="M86" s="487"/>
      <c r="N86" s="487"/>
      <c r="O86" s="487"/>
      <c r="P86" s="487"/>
      <c r="Q86" s="487"/>
      <c r="R86" s="487"/>
      <c r="S86" s="487"/>
      <c r="T86" s="487"/>
    </row>
    <row r="87" spans="1:21" x14ac:dyDescent="0.3">
      <c r="E87" s="487"/>
      <c r="F87" s="487"/>
      <c r="G87" s="487"/>
      <c r="H87" s="487"/>
      <c r="I87" s="487"/>
      <c r="J87" s="487"/>
      <c r="K87" s="487"/>
      <c r="L87" s="487"/>
      <c r="M87" s="487"/>
      <c r="N87" s="487"/>
      <c r="O87" s="487"/>
      <c r="P87" s="487"/>
      <c r="Q87" s="487"/>
      <c r="R87" s="487"/>
      <c r="S87" s="487"/>
      <c r="T87" s="487"/>
      <c r="U87" s="496"/>
    </row>
    <row r="88" spans="1:21" x14ac:dyDescent="0.3">
      <c r="E88" s="487"/>
      <c r="F88" s="487"/>
      <c r="G88" s="487"/>
      <c r="H88" s="487"/>
      <c r="I88" s="487"/>
      <c r="J88" s="487"/>
      <c r="K88" s="487"/>
      <c r="L88" s="487"/>
      <c r="M88" s="487"/>
      <c r="N88" s="487"/>
      <c r="O88" s="487"/>
      <c r="P88" s="487"/>
      <c r="Q88" s="487"/>
      <c r="R88" s="487"/>
      <c r="S88" s="487"/>
      <c r="T88" s="487"/>
    </row>
    <row r="89" spans="1:21" x14ac:dyDescent="0.3">
      <c r="E89" s="487"/>
      <c r="F89" s="487"/>
      <c r="G89" s="487"/>
      <c r="H89" s="487"/>
      <c r="I89" s="487"/>
      <c r="J89" s="487"/>
      <c r="K89" s="487"/>
      <c r="L89" s="487"/>
      <c r="M89" s="487"/>
      <c r="N89" s="487"/>
      <c r="O89" s="487"/>
      <c r="P89" s="487"/>
      <c r="Q89" s="487"/>
      <c r="R89" s="487"/>
      <c r="S89" s="487"/>
      <c r="T89" s="487"/>
      <c r="U89" s="496"/>
    </row>
    <row r="90" spans="1:21" x14ac:dyDescent="0.3">
      <c r="T90" s="487"/>
    </row>
    <row r="91" spans="1:21" x14ac:dyDescent="0.3">
      <c r="T91" s="487"/>
      <c r="U91" s="496"/>
    </row>
    <row r="92" spans="1:21" x14ac:dyDescent="0.3">
      <c r="T92" s="487"/>
    </row>
  </sheetData>
  <mergeCells count="9">
    <mergeCell ref="D4:D5"/>
    <mergeCell ref="T4:T6"/>
    <mergeCell ref="A16:A18"/>
    <mergeCell ref="G53:G55"/>
    <mergeCell ref="A20:A22"/>
    <mergeCell ref="A24:A26"/>
    <mergeCell ref="A4:A5"/>
    <mergeCell ref="B4:B5"/>
    <mergeCell ref="C4:C5"/>
  </mergeCells>
  <pageMargins left="0.7" right="0.7" top="0.75" bottom="0.75" header="0.3" footer="0.3"/>
  <pageSetup paperSize="9" orientation="portrait" verticalDpi="0" r:id="rId1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7" workbookViewId="0">
      <selection activeCell="B18" sqref="B18"/>
    </sheetView>
  </sheetViews>
  <sheetFormatPr defaultRowHeight="14.4" x14ac:dyDescent="0.3"/>
  <cols>
    <col min="1" max="1" width="6.88671875" bestFit="1" customWidth="1"/>
    <col min="2" max="2" width="39.33203125" bestFit="1" customWidth="1"/>
    <col min="3" max="3" width="17.5546875" customWidth="1"/>
    <col min="4" max="4" width="20.109375" customWidth="1"/>
    <col min="5" max="5" width="18.6640625" customWidth="1"/>
    <col min="6" max="7" width="18.33203125" bestFit="1" customWidth="1"/>
    <col min="8" max="8" width="38.5546875" customWidth="1"/>
  </cols>
  <sheetData>
    <row r="1" spans="1:8" x14ac:dyDescent="0.3">
      <c r="B1" t="s">
        <v>517</v>
      </c>
    </row>
    <row r="2" spans="1:8" ht="15.6" x14ac:dyDescent="0.3">
      <c r="A2" s="734" t="s">
        <v>400</v>
      </c>
      <c r="B2" s="734" t="s">
        <v>492</v>
      </c>
      <c r="C2" s="735" t="s">
        <v>493</v>
      </c>
      <c r="D2" s="735"/>
      <c r="E2" s="735"/>
      <c r="F2" s="736" t="s">
        <v>494</v>
      </c>
      <c r="G2" s="736" t="s">
        <v>495</v>
      </c>
    </row>
    <row r="3" spans="1:8" ht="46.8" x14ac:dyDescent="0.3">
      <c r="A3" s="734"/>
      <c r="B3" s="734"/>
      <c r="C3" s="521" t="s">
        <v>496</v>
      </c>
      <c r="D3" s="521" t="s">
        <v>497</v>
      </c>
      <c r="E3" s="521" t="s">
        <v>498</v>
      </c>
      <c r="F3" s="737"/>
      <c r="G3" s="737"/>
    </row>
    <row r="4" spans="1:8" ht="15.6" x14ac:dyDescent="0.3">
      <c r="A4" s="522">
        <v>1</v>
      </c>
      <c r="B4" s="522">
        <v>2</v>
      </c>
      <c r="C4" s="522">
        <v>3</v>
      </c>
      <c r="D4" s="522">
        <v>4</v>
      </c>
      <c r="E4" s="522">
        <v>5</v>
      </c>
      <c r="F4" s="522">
        <v>6</v>
      </c>
      <c r="G4" s="522">
        <v>7</v>
      </c>
    </row>
    <row r="5" spans="1:8" ht="15.6" x14ac:dyDescent="0.3">
      <c r="A5" s="523"/>
      <c r="B5" s="524" t="s">
        <v>499</v>
      </c>
      <c r="C5" s="525"/>
      <c r="D5" s="525"/>
      <c r="E5" s="525"/>
      <c r="F5" s="525"/>
      <c r="G5" s="526"/>
    </row>
    <row r="6" spans="1:8" ht="31.2" x14ac:dyDescent="0.3">
      <c r="A6" s="527">
        <v>1</v>
      </c>
      <c r="B6" s="528" t="s">
        <v>500</v>
      </c>
      <c r="C6" s="529">
        <v>0</v>
      </c>
      <c r="D6" s="529">
        <v>0</v>
      </c>
      <c r="E6" s="529">
        <v>37856.959999999999</v>
      </c>
      <c r="F6" s="529">
        <v>37856.959999999999</v>
      </c>
      <c r="G6" s="530">
        <v>94.642399999999995</v>
      </c>
    </row>
    <row r="7" spans="1:8" ht="31.2" x14ac:dyDescent="0.3">
      <c r="A7" s="527">
        <v>2</v>
      </c>
      <c r="B7" s="528" t="s">
        <v>501</v>
      </c>
      <c r="C7" s="529">
        <v>0</v>
      </c>
      <c r="D7" s="529">
        <v>0</v>
      </c>
      <c r="E7" s="529">
        <v>37191.660000000003</v>
      </c>
      <c r="F7" s="529">
        <v>37191.660000000003</v>
      </c>
      <c r="G7" s="530">
        <v>92.979150000000004</v>
      </c>
    </row>
    <row r="8" spans="1:8" ht="15.6" x14ac:dyDescent="0.3">
      <c r="A8" s="527">
        <v>3</v>
      </c>
      <c r="B8" s="528" t="s">
        <v>502</v>
      </c>
      <c r="C8" s="529">
        <v>0</v>
      </c>
      <c r="D8" s="529">
        <v>0</v>
      </c>
      <c r="E8" s="529">
        <v>13721</v>
      </c>
      <c r="F8" s="529">
        <v>13721</v>
      </c>
      <c r="G8" s="530">
        <v>34.302500000000002</v>
      </c>
    </row>
    <row r="9" spans="1:8" ht="15.6" x14ac:dyDescent="0.3">
      <c r="A9" s="527">
        <v>4</v>
      </c>
      <c r="B9" s="528" t="s">
        <v>503</v>
      </c>
      <c r="C9" s="529">
        <v>0</v>
      </c>
      <c r="D9" s="529">
        <v>0</v>
      </c>
      <c r="E9" s="529">
        <v>709</v>
      </c>
      <c r="F9" s="529">
        <v>709</v>
      </c>
      <c r="G9" s="530">
        <v>1.7725</v>
      </c>
    </row>
    <row r="10" spans="1:8" ht="15.6" x14ac:dyDescent="0.3">
      <c r="A10" s="527">
        <v>5</v>
      </c>
      <c r="B10" s="528" t="s">
        <v>504</v>
      </c>
      <c r="C10" s="529">
        <v>0</v>
      </c>
      <c r="D10" s="529">
        <v>0</v>
      </c>
      <c r="E10" s="529">
        <v>39343.07</v>
      </c>
      <c r="F10" s="529">
        <v>39343.07</v>
      </c>
      <c r="G10" s="530">
        <v>98.357675</v>
      </c>
    </row>
    <row r="11" spans="1:8" ht="46.8" x14ac:dyDescent="0.3">
      <c r="A11" s="527">
        <v>6</v>
      </c>
      <c r="B11" s="528" t="s">
        <v>505</v>
      </c>
      <c r="C11" s="529">
        <v>0</v>
      </c>
      <c r="D11" s="529">
        <v>0</v>
      </c>
      <c r="E11" s="529">
        <v>2331</v>
      </c>
      <c r="F11" s="529">
        <v>2331</v>
      </c>
      <c r="G11" s="530">
        <v>5.8274999999999997</v>
      </c>
    </row>
    <row r="12" spans="1:8" ht="15.6" x14ac:dyDescent="0.3">
      <c r="A12" s="527"/>
      <c r="B12" s="531" t="s">
        <v>506</v>
      </c>
      <c r="C12" s="532">
        <v>0</v>
      </c>
      <c r="D12" s="532">
        <v>0</v>
      </c>
      <c r="E12" s="532">
        <v>131152.69</v>
      </c>
      <c r="F12" s="532">
        <v>131152.69</v>
      </c>
      <c r="G12" s="532">
        <v>327.88172500000002</v>
      </c>
    </row>
    <row r="13" spans="1:8" ht="15.6" x14ac:dyDescent="0.3">
      <c r="A13" s="527"/>
      <c r="B13" s="733" t="s">
        <v>516</v>
      </c>
      <c r="C13" s="733"/>
      <c r="D13" s="733"/>
      <c r="E13" s="733"/>
      <c r="F13" s="733"/>
      <c r="G13" s="733"/>
    </row>
    <row r="14" spans="1:8" ht="31.2" x14ac:dyDescent="0.3">
      <c r="A14" s="527"/>
      <c r="B14" s="533" t="s">
        <v>507</v>
      </c>
      <c r="C14" s="534"/>
      <c r="D14" s="534"/>
      <c r="E14" s="534"/>
      <c r="F14" s="529"/>
      <c r="G14" s="530"/>
    </row>
    <row r="15" spans="1:8" ht="15.6" x14ac:dyDescent="0.3">
      <c r="A15" s="527">
        <v>7</v>
      </c>
      <c r="B15" s="528" t="s">
        <v>508</v>
      </c>
      <c r="C15" s="529">
        <v>83488158.005102396</v>
      </c>
      <c r="D15" s="529">
        <v>24973572.199999996</v>
      </c>
      <c r="E15" s="529">
        <v>931749.1</v>
      </c>
      <c r="F15" s="529">
        <v>109393479.30510238</v>
      </c>
      <c r="G15" s="530">
        <v>273483.69826275593</v>
      </c>
    </row>
    <row r="16" spans="1:8" ht="15.6" x14ac:dyDescent="0.3">
      <c r="A16" s="527"/>
      <c r="B16" s="531" t="s">
        <v>509</v>
      </c>
      <c r="C16" s="532">
        <v>83488158.005102396</v>
      </c>
      <c r="D16" s="532">
        <v>24973572.199999996</v>
      </c>
      <c r="E16" s="532">
        <v>931749.1</v>
      </c>
      <c r="F16" s="532">
        <v>109393479.30510238</v>
      </c>
      <c r="G16" s="532">
        <v>273483.69826275593</v>
      </c>
      <c r="H16" s="544" t="s">
        <v>519</v>
      </c>
    </row>
    <row r="17" spans="1:7" ht="15.6" x14ac:dyDescent="0.3">
      <c r="A17" s="527"/>
      <c r="B17" s="524" t="s">
        <v>510</v>
      </c>
      <c r="C17" s="534"/>
      <c r="D17" s="534"/>
      <c r="E17" s="534"/>
      <c r="F17" s="529"/>
      <c r="G17" s="530"/>
    </row>
    <row r="18" spans="1:7" ht="57.75" customHeight="1" x14ac:dyDescent="0.3">
      <c r="A18" s="527">
        <v>8</v>
      </c>
      <c r="B18" s="528" t="s">
        <v>511</v>
      </c>
      <c r="C18" s="529">
        <v>0</v>
      </c>
      <c r="D18" s="529">
        <v>0</v>
      </c>
      <c r="E18" s="529">
        <v>466776.72</v>
      </c>
      <c r="F18" s="529">
        <v>466776.72</v>
      </c>
      <c r="G18" s="530">
        <v>1166.9417999999998</v>
      </c>
    </row>
    <row r="19" spans="1:7" ht="50.25" customHeight="1" x14ac:dyDescent="0.3">
      <c r="A19" s="527">
        <v>9</v>
      </c>
      <c r="B19" s="528" t="s">
        <v>512</v>
      </c>
      <c r="C19" s="529">
        <v>0</v>
      </c>
      <c r="D19" s="529">
        <v>0</v>
      </c>
      <c r="E19" s="529">
        <v>192505.86</v>
      </c>
      <c r="F19" s="529">
        <v>192505.86</v>
      </c>
      <c r="G19" s="530">
        <v>481.26464999999996</v>
      </c>
    </row>
    <row r="20" spans="1:7" ht="15.6" x14ac:dyDescent="0.3">
      <c r="A20" s="527"/>
      <c r="B20" s="531" t="s">
        <v>513</v>
      </c>
      <c r="C20" s="535">
        <v>0</v>
      </c>
      <c r="D20" s="535">
        <v>0</v>
      </c>
      <c r="E20" s="532">
        <v>659282.57999999996</v>
      </c>
      <c r="F20" s="532">
        <v>659282.57999999996</v>
      </c>
      <c r="G20" s="532">
        <v>1648.2064499999997</v>
      </c>
    </row>
    <row r="21" spans="1:7" ht="15.6" x14ac:dyDescent="0.3">
      <c r="A21" s="536"/>
      <c r="B21" s="537" t="s">
        <v>514</v>
      </c>
      <c r="C21" s="532">
        <v>83488158.005102396</v>
      </c>
      <c r="D21" s="532">
        <v>24973572.199999996</v>
      </c>
      <c r="E21" s="532">
        <v>1722184.37</v>
      </c>
      <c r="F21" s="532">
        <v>110183914.57510237</v>
      </c>
      <c r="G21" s="532">
        <v>275459.78643775592</v>
      </c>
    </row>
    <row r="22" spans="1:7" ht="15.6" x14ac:dyDescent="0.3">
      <c r="A22" s="538"/>
      <c r="B22" s="528"/>
      <c r="C22" s="539"/>
      <c r="D22" s="539"/>
      <c r="E22" s="540"/>
      <c r="F22" s="529"/>
      <c r="G22" s="530"/>
    </row>
    <row r="23" spans="1:7" ht="15.6" x14ac:dyDescent="0.3">
      <c r="A23" s="541"/>
      <c r="B23" s="542"/>
      <c r="C23" s="543"/>
      <c r="D23" s="543"/>
      <c r="E23" s="543"/>
      <c r="F23" s="543"/>
      <c r="G23" s="543"/>
    </row>
  </sheetData>
  <mergeCells count="6">
    <mergeCell ref="B13:G13"/>
    <mergeCell ref="A2:A3"/>
    <mergeCell ref="B2:B3"/>
    <mergeCell ref="C2:E2"/>
    <mergeCell ref="F2:F3"/>
    <mergeCell ref="G2:G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workbookViewId="0">
      <selection activeCell="D16" sqref="D16"/>
    </sheetView>
  </sheetViews>
  <sheetFormatPr defaultRowHeight="14.4" x14ac:dyDescent="0.3"/>
  <cols>
    <col min="1" max="1" width="20.5546875" customWidth="1"/>
    <col min="2" max="2" width="38.33203125" bestFit="1" customWidth="1"/>
    <col min="3" max="3" width="9.88671875" customWidth="1"/>
    <col min="4" max="16" width="9.6640625" customWidth="1"/>
    <col min="256" max="256" width="38.33203125" bestFit="1" customWidth="1"/>
    <col min="257" max="257" width="6.109375" customWidth="1"/>
    <col min="258" max="269" width="9.6640625" customWidth="1"/>
    <col min="272" max="272" width="19.109375" bestFit="1" customWidth="1"/>
    <col min="512" max="512" width="38.33203125" bestFit="1" customWidth="1"/>
    <col min="513" max="513" width="6.109375" customWidth="1"/>
    <col min="514" max="525" width="9.6640625" customWidth="1"/>
    <col min="528" max="528" width="19.109375" bestFit="1" customWidth="1"/>
    <col min="768" max="768" width="38.33203125" bestFit="1" customWidth="1"/>
    <col min="769" max="769" width="6.109375" customWidth="1"/>
    <col min="770" max="781" width="9.6640625" customWidth="1"/>
    <col min="784" max="784" width="19.109375" bestFit="1" customWidth="1"/>
    <col min="1024" max="1024" width="38.33203125" bestFit="1" customWidth="1"/>
    <col min="1025" max="1025" width="6.109375" customWidth="1"/>
    <col min="1026" max="1037" width="9.6640625" customWidth="1"/>
    <col min="1040" max="1040" width="19.109375" bestFit="1" customWidth="1"/>
    <col min="1280" max="1280" width="38.33203125" bestFit="1" customWidth="1"/>
    <col min="1281" max="1281" width="6.109375" customWidth="1"/>
    <col min="1282" max="1293" width="9.6640625" customWidth="1"/>
    <col min="1296" max="1296" width="19.109375" bestFit="1" customWidth="1"/>
    <col min="1536" max="1536" width="38.33203125" bestFit="1" customWidth="1"/>
    <col min="1537" max="1537" width="6.109375" customWidth="1"/>
    <col min="1538" max="1549" width="9.6640625" customWidth="1"/>
    <col min="1552" max="1552" width="19.109375" bestFit="1" customWidth="1"/>
    <col min="1792" max="1792" width="38.33203125" bestFit="1" customWidth="1"/>
    <col min="1793" max="1793" width="6.109375" customWidth="1"/>
    <col min="1794" max="1805" width="9.6640625" customWidth="1"/>
    <col min="1808" max="1808" width="19.109375" bestFit="1" customWidth="1"/>
    <col min="2048" max="2048" width="38.33203125" bestFit="1" customWidth="1"/>
    <col min="2049" max="2049" width="6.109375" customWidth="1"/>
    <col min="2050" max="2061" width="9.6640625" customWidth="1"/>
    <col min="2064" max="2064" width="19.109375" bestFit="1" customWidth="1"/>
    <col min="2304" max="2304" width="38.33203125" bestFit="1" customWidth="1"/>
    <col min="2305" max="2305" width="6.109375" customWidth="1"/>
    <col min="2306" max="2317" width="9.6640625" customWidth="1"/>
    <col min="2320" max="2320" width="19.109375" bestFit="1" customWidth="1"/>
    <col min="2560" max="2560" width="38.33203125" bestFit="1" customWidth="1"/>
    <col min="2561" max="2561" width="6.109375" customWidth="1"/>
    <col min="2562" max="2573" width="9.6640625" customWidth="1"/>
    <col min="2576" max="2576" width="19.109375" bestFit="1" customWidth="1"/>
    <col min="2816" max="2816" width="38.33203125" bestFit="1" customWidth="1"/>
    <col min="2817" max="2817" width="6.109375" customWidth="1"/>
    <col min="2818" max="2829" width="9.6640625" customWidth="1"/>
    <col min="2832" max="2832" width="19.109375" bestFit="1" customWidth="1"/>
    <col min="3072" max="3072" width="38.33203125" bestFit="1" customWidth="1"/>
    <col min="3073" max="3073" width="6.109375" customWidth="1"/>
    <col min="3074" max="3085" width="9.6640625" customWidth="1"/>
    <col min="3088" max="3088" width="19.109375" bestFit="1" customWidth="1"/>
    <col min="3328" max="3328" width="38.33203125" bestFit="1" customWidth="1"/>
    <col min="3329" max="3329" width="6.109375" customWidth="1"/>
    <col min="3330" max="3341" width="9.6640625" customWidth="1"/>
    <col min="3344" max="3344" width="19.109375" bestFit="1" customWidth="1"/>
    <col min="3584" max="3584" width="38.33203125" bestFit="1" customWidth="1"/>
    <col min="3585" max="3585" width="6.109375" customWidth="1"/>
    <col min="3586" max="3597" width="9.6640625" customWidth="1"/>
    <col min="3600" max="3600" width="19.109375" bestFit="1" customWidth="1"/>
    <col min="3840" max="3840" width="38.33203125" bestFit="1" customWidth="1"/>
    <col min="3841" max="3841" width="6.109375" customWidth="1"/>
    <col min="3842" max="3853" width="9.6640625" customWidth="1"/>
    <col min="3856" max="3856" width="19.109375" bestFit="1" customWidth="1"/>
    <col min="4096" max="4096" width="38.33203125" bestFit="1" customWidth="1"/>
    <col min="4097" max="4097" width="6.109375" customWidth="1"/>
    <col min="4098" max="4109" width="9.6640625" customWidth="1"/>
    <col min="4112" max="4112" width="19.109375" bestFit="1" customWidth="1"/>
    <col min="4352" max="4352" width="38.33203125" bestFit="1" customWidth="1"/>
    <col min="4353" max="4353" width="6.109375" customWidth="1"/>
    <col min="4354" max="4365" width="9.6640625" customWidth="1"/>
    <col min="4368" max="4368" width="19.109375" bestFit="1" customWidth="1"/>
    <col min="4608" max="4608" width="38.33203125" bestFit="1" customWidth="1"/>
    <col min="4609" max="4609" width="6.109375" customWidth="1"/>
    <col min="4610" max="4621" width="9.6640625" customWidth="1"/>
    <col min="4624" max="4624" width="19.109375" bestFit="1" customWidth="1"/>
    <col min="4864" max="4864" width="38.33203125" bestFit="1" customWidth="1"/>
    <col min="4865" max="4865" width="6.109375" customWidth="1"/>
    <col min="4866" max="4877" width="9.6640625" customWidth="1"/>
    <col min="4880" max="4880" width="19.109375" bestFit="1" customWidth="1"/>
    <col min="5120" max="5120" width="38.33203125" bestFit="1" customWidth="1"/>
    <col min="5121" max="5121" width="6.109375" customWidth="1"/>
    <col min="5122" max="5133" width="9.6640625" customWidth="1"/>
    <col min="5136" max="5136" width="19.109375" bestFit="1" customWidth="1"/>
    <col min="5376" max="5376" width="38.33203125" bestFit="1" customWidth="1"/>
    <col min="5377" max="5377" width="6.109375" customWidth="1"/>
    <col min="5378" max="5389" width="9.6640625" customWidth="1"/>
    <col min="5392" max="5392" width="19.109375" bestFit="1" customWidth="1"/>
    <col min="5632" max="5632" width="38.33203125" bestFit="1" customWidth="1"/>
    <col min="5633" max="5633" width="6.109375" customWidth="1"/>
    <col min="5634" max="5645" width="9.6640625" customWidth="1"/>
    <col min="5648" max="5648" width="19.109375" bestFit="1" customWidth="1"/>
    <col min="5888" max="5888" width="38.33203125" bestFit="1" customWidth="1"/>
    <col min="5889" max="5889" width="6.109375" customWidth="1"/>
    <col min="5890" max="5901" width="9.6640625" customWidth="1"/>
    <col min="5904" max="5904" width="19.109375" bestFit="1" customWidth="1"/>
    <col min="6144" max="6144" width="38.33203125" bestFit="1" customWidth="1"/>
    <col min="6145" max="6145" width="6.109375" customWidth="1"/>
    <col min="6146" max="6157" width="9.6640625" customWidth="1"/>
    <col min="6160" max="6160" width="19.109375" bestFit="1" customWidth="1"/>
    <col min="6400" max="6400" width="38.33203125" bestFit="1" customWidth="1"/>
    <col min="6401" max="6401" width="6.109375" customWidth="1"/>
    <col min="6402" max="6413" width="9.6640625" customWidth="1"/>
    <col min="6416" max="6416" width="19.109375" bestFit="1" customWidth="1"/>
    <col min="6656" max="6656" width="38.33203125" bestFit="1" customWidth="1"/>
    <col min="6657" max="6657" width="6.109375" customWidth="1"/>
    <col min="6658" max="6669" width="9.6640625" customWidth="1"/>
    <col min="6672" max="6672" width="19.109375" bestFit="1" customWidth="1"/>
    <col min="6912" max="6912" width="38.33203125" bestFit="1" customWidth="1"/>
    <col min="6913" max="6913" width="6.109375" customWidth="1"/>
    <col min="6914" max="6925" width="9.6640625" customWidth="1"/>
    <col min="6928" max="6928" width="19.109375" bestFit="1" customWidth="1"/>
    <col min="7168" max="7168" width="38.33203125" bestFit="1" customWidth="1"/>
    <col min="7169" max="7169" width="6.109375" customWidth="1"/>
    <col min="7170" max="7181" width="9.6640625" customWidth="1"/>
    <col min="7184" max="7184" width="19.109375" bestFit="1" customWidth="1"/>
    <col min="7424" max="7424" width="38.33203125" bestFit="1" customWidth="1"/>
    <col min="7425" max="7425" width="6.109375" customWidth="1"/>
    <col min="7426" max="7437" width="9.6640625" customWidth="1"/>
    <col min="7440" max="7440" width="19.109375" bestFit="1" customWidth="1"/>
    <col min="7680" max="7680" width="38.33203125" bestFit="1" customWidth="1"/>
    <col min="7681" max="7681" width="6.109375" customWidth="1"/>
    <col min="7682" max="7693" width="9.6640625" customWidth="1"/>
    <col min="7696" max="7696" width="19.109375" bestFit="1" customWidth="1"/>
    <col min="7936" max="7936" width="38.33203125" bestFit="1" customWidth="1"/>
    <col min="7937" max="7937" width="6.109375" customWidth="1"/>
    <col min="7938" max="7949" width="9.6640625" customWidth="1"/>
    <col min="7952" max="7952" width="19.109375" bestFit="1" customWidth="1"/>
    <col min="8192" max="8192" width="38.33203125" bestFit="1" customWidth="1"/>
    <col min="8193" max="8193" width="6.109375" customWidth="1"/>
    <col min="8194" max="8205" width="9.6640625" customWidth="1"/>
    <col min="8208" max="8208" width="19.109375" bestFit="1" customWidth="1"/>
    <col min="8448" max="8448" width="38.33203125" bestFit="1" customWidth="1"/>
    <col min="8449" max="8449" width="6.109375" customWidth="1"/>
    <col min="8450" max="8461" width="9.6640625" customWidth="1"/>
    <col min="8464" max="8464" width="19.109375" bestFit="1" customWidth="1"/>
    <col min="8704" max="8704" width="38.33203125" bestFit="1" customWidth="1"/>
    <col min="8705" max="8705" width="6.109375" customWidth="1"/>
    <col min="8706" max="8717" width="9.6640625" customWidth="1"/>
    <col min="8720" max="8720" width="19.109375" bestFit="1" customWidth="1"/>
    <col min="8960" max="8960" width="38.33203125" bestFit="1" customWidth="1"/>
    <col min="8961" max="8961" width="6.109375" customWidth="1"/>
    <col min="8962" max="8973" width="9.6640625" customWidth="1"/>
    <col min="8976" max="8976" width="19.109375" bestFit="1" customWidth="1"/>
    <col min="9216" max="9216" width="38.33203125" bestFit="1" customWidth="1"/>
    <col min="9217" max="9217" width="6.109375" customWidth="1"/>
    <col min="9218" max="9229" width="9.6640625" customWidth="1"/>
    <col min="9232" max="9232" width="19.109375" bestFit="1" customWidth="1"/>
    <col min="9472" max="9472" width="38.33203125" bestFit="1" customWidth="1"/>
    <col min="9473" max="9473" width="6.109375" customWidth="1"/>
    <col min="9474" max="9485" width="9.6640625" customWidth="1"/>
    <col min="9488" max="9488" width="19.109375" bestFit="1" customWidth="1"/>
    <col min="9728" max="9728" width="38.33203125" bestFit="1" customWidth="1"/>
    <col min="9729" max="9729" width="6.109375" customWidth="1"/>
    <col min="9730" max="9741" width="9.6640625" customWidth="1"/>
    <col min="9744" max="9744" width="19.109375" bestFit="1" customWidth="1"/>
    <col min="9984" max="9984" width="38.33203125" bestFit="1" customWidth="1"/>
    <col min="9985" max="9985" width="6.109375" customWidth="1"/>
    <col min="9986" max="9997" width="9.6640625" customWidth="1"/>
    <col min="10000" max="10000" width="19.109375" bestFit="1" customWidth="1"/>
    <col min="10240" max="10240" width="38.33203125" bestFit="1" customWidth="1"/>
    <col min="10241" max="10241" width="6.109375" customWidth="1"/>
    <col min="10242" max="10253" width="9.6640625" customWidth="1"/>
    <col min="10256" max="10256" width="19.109375" bestFit="1" customWidth="1"/>
    <col min="10496" max="10496" width="38.33203125" bestFit="1" customWidth="1"/>
    <col min="10497" max="10497" width="6.109375" customWidth="1"/>
    <col min="10498" max="10509" width="9.6640625" customWidth="1"/>
    <col min="10512" max="10512" width="19.109375" bestFit="1" customWidth="1"/>
    <col min="10752" max="10752" width="38.33203125" bestFit="1" customWidth="1"/>
    <col min="10753" max="10753" width="6.109375" customWidth="1"/>
    <col min="10754" max="10765" width="9.6640625" customWidth="1"/>
    <col min="10768" max="10768" width="19.109375" bestFit="1" customWidth="1"/>
    <col min="11008" max="11008" width="38.33203125" bestFit="1" customWidth="1"/>
    <col min="11009" max="11009" width="6.109375" customWidth="1"/>
    <col min="11010" max="11021" width="9.6640625" customWidth="1"/>
    <col min="11024" max="11024" width="19.109375" bestFit="1" customWidth="1"/>
    <col min="11264" max="11264" width="38.33203125" bestFit="1" customWidth="1"/>
    <col min="11265" max="11265" width="6.109375" customWidth="1"/>
    <col min="11266" max="11277" width="9.6640625" customWidth="1"/>
    <col min="11280" max="11280" width="19.109375" bestFit="1" customWidth="1"/>
    <col min="11520" max="11520" width="38.33203125" bestFit="1" customWidth="1"/>
    <col min="11521" max="11521" width="6.109375" customWidth="1"/>
    <col min="11522" max="11533" width="9.6640625" customWidth="1"/>
    <col min="11536" max="11536" width="19.109375" bestFit="1" customWidth="1"/>
    <col min="11776" max="11776" width="38.33203125" bestFit="1" customWidth="1"/>
    <col min="11777" max="11777" width="6.109375" customWidth="1"/>
    <col min="11778" max="11789" width="9.6640625" customWidth="1"/>
    <col min="11792" max="11792" width="19.109375" bestFit="1" customWidth="1"/>
    <col min="12032" max="12032" width="38.33203125" bestFit="1" customWidth="1"/>
    <col min="12033" max="12033" width="6.109375" customWidth="1"/>
    <col min="12034" max="12045" width="9.6640625" customWidth="1"/>
    <col min="12048" max="12048" width="19.109375" bestFit="1" customWidth="1"/>
    <col min="12288" max="12288" width="38.33203125" bestFit="1" customWidth="1"/>
    <col min="12289" max="12289" width="6.109375" customWidth="1"/>
    <col min="12290" max="12301" width="9.6640625" customWidth="1"/>
    <col min="12304" max="12304" width="19.109375" bestFit="1" customWidth="1"/>
    <col min="12544" max="12544" width="38.33203125" bestFit="1" customWidth="1"/>
    <col min="12545" max="12545" width="6.109375" customWidth="1"/>
    <col min="12546" max="12557" width="9.6640625" customWidth="1"/>
    <col min="12560" max="12560" width="19.109375" bestFit="1" customWidth="1"/>
    <col min="12800" max="12800" width="38.33203125" bestFit="1" customWidth="1"/>
    <col min="12801" max="12801" width="6.109375" customWidth="1"/>
    <col min="12802" max="12813" width="9.6640625" customWidth="1"/>
    <col min="12816" max="12816" width="19.109375" bestFit="1" customWidth="1"/>
    <col min="13056" max="13056" width="38.33203125" bestFit="1" customWidth="1"/>
    <col min="13057" max="13057" width="6.109375" customWidth="1"/>
    <col min="13058" max="13069" width="9.6640625" customWidth="1"/>
    <col min="13072" max="13072" width="19.109375" bestFit="1" customWidth="1"/>
    <col min="13312" max="13312" width="38.33203125" bestFit="1" customWidth="1"/>
    <col min="13313" max="13313" width="6.109375" customWidth="1"/>
    <col min="13314" max="13325" width="9.6640625" customWidth="1"/>
    <col min="13328" max="13328" width="19.109375" bestFit="1" customWidth="1"/>
    <col min="13568" max="13568" width="38.33203125" bestFit="1" customWidth="1"/>
    <col min="13569" max="13569" width="6.109375" customWidth="1"/>
    <col min="13570" max="13581" width="9.6640625" customWidth="1"/>
    <col min="13584" max="13584" width="19.109375" bestFit="1" customWidth="1"/>
    <col min="13824" max="13824" width="38.33203125" bestFit="1" customWidth="1"/>
    <col min="13825" max="13825" width="6.109375" customWidth="1"/>
    <col min="13826" max="13837" width="9.6640625" customWidth="1"/>
    <col min="13840" max="13840" width="19.109375" bestFit="1" customWidth="1"/>
    <col min="14080" max="14080" width="38.33203125" bestFit="1" customWidth="1"/>
    <col min="14081" max="14081" width="6.109375" customWidth="1"/>
    <col min="14082" max="14093" width="9.6640625" customWidth="1"/>
    <col min="14096" max="14096" width="19.109375" bestFit="1" customWidth="1"/>
    <col min="14336" max="14336" width="38.33203125" bestFit="1" customWidth="1"/>
    <col min="14337" max="14337" width="6.109375" customWidth="1"/>
    <col min="14338" max="14349" width="9.6640625" customWidth="1"/>
    <col min="14352" max="14352" width="19.109375" bestFit="1" customWidth="1"/>
    <col min="14592" max="14592" width="38.33203125" bestFit="1" customWidth="1"/>
    <col min="14593" max="14593" width="6.109375" customWidth="1"/>
    <col min="14594" max="14605" width="9.6640625" customWidth="1"/>
    <col min="14608" max="14608" width="19.109375" bestFit="1" customWidth="1"/>
    <col min="14848" max="14848" width="38.33203125" bestFit="1" customWidth="1"/>
    <col min="14849" max="14849" width="6.109375" customWidth="1"/>
    <col min="14850" max="14861" width="9.6640625" customWidth="1"/>
    <col min="14864" max="14864" width="19.109375" bestFit="1" customWidth="1"/>
    <col min="15104" max="15104" width="38.33203125" bestFit="1" customWidth="1"/>
    <col min="15105" max="15105" width="6.109375" customWidth="1"/>
    <col min="15106" max="15117" width="9.6640625" customWidth="1"/>
    <col min="15120" max="15120" width="19.109375" bestFit="1" customWidth="1"/>
    <col min="15360" max="15360" width="38.33203125" bestFit="1" customWidth="1"/>
    <col min="15361" max="15361" width="6.109375" customWidth="1"/>
    <col min="15362" max="15373" width="9.6640625" customWidth="1"/>
    <col min="15376" max="15376" width="19.109375" bestFit="1" customWidth="1"/>
    <col min="15616" max="15616" width="38.33203125" bestFit="1" customWidth="1"/>
    <col min="15617" max="15617" width="6.109375" customWidth="1"/>
    <col min="15618" max="15629" width="9.6640625" customWidth="1"/>
    <col min="15632" max="15632" width="19.109375" bestFit="1" customWidth="1"/>
    <col min="15872" max="15872" width="38.33203125" bestFit="1" customWidth="1"/>
    <col min="15873" max="15873" width="6.109375" customWidth="1"/>
    <col min="15874" max="15885" width="9.6640625" customWidth="1"/>
    <col min="15888" max="15888" width="19.109375" bestFit="1" customWidth="1"/>
    <col min="16128" max="16128" width="38.33203125" bestFit="1" customWidth="1"/>
    <col min="16129" max="16129" width="6.109375" customWidth="1"/>
    <col min="16130" max="16141" width="9.6640625" customWidth="1"/>
    <col min="16144" max="16144" width="19.109375" bestFit="1" customWidth="1"/>
  </cols>
  <sheetData>
    <row r="1" spans="1:19" ht="15.6" x14ac:dyDescent="0.3">
      <c r="B1" s="347" t="s">
        <v>410</v>
      </c>
      <c r="C1" s="348"/>
      <c r="D1" s="348"/>
      <c r="E1" s="348"/>
      <c r="F1" s="348"/>
      <c r="G1" s="348"/>
      <c r="H1" s="348"/>
      <c r="I1" s="348"/>
    </row>
    <row r="2" spans="1:19" ht="15.6" x14ac:dyDescent="0.3">
      <c r="B2" s="349" t="s">
        <v>411</v>
      </c>
      <c r="C2" s="349"/>
      <c r="D2" s="349"/>
      <c r="E2" s="408"/>
      <c r="F2" s="350"/>
      <c r="G2" s="350"/>
      <c r="H2" s="350"/>
      <c r="I2" s="350"/>
    </row>
    <row r="3" spans="1:19" x14ac:dyDescent="0.3">
      <c r="A3" s="718" t="s">
        <v>432</v>
      </c>
      <c r="B3" s="708" t="s">
        <v>412</v>
      </c>
      <c r="C3" s="711" t="s">
        <v>213</v>
      </c>
      <c r="D3" s="711" t="s">
        <v>214</v>
      </c>
      <c r="E3" s="417"/>
      <c r="F3" s="717" t="s">
        <v>334</v>
      </c>
      <c r="G3" s="717"/>
      <c r="H3" s="717"/>
      <c r="I3" s="717"/>
      <c r="J3" s="717"/>
      <c r="K3" s="717"/>
      <c r="L3" s="717"/>
      <c r="M3" s="717"/>
      <c r="N3" s="717"/>
      <c r="O3" s="717"/>
      <c r="P3" s="717"/>
      <c r="Q3" s="717"/>
      <c r="R3" s="717"/>
      <c r="S3" s="717"/>
    </row>
    <row r="4" spans="1:19" x14ac:dyDescent="0.3">
      <c r="A4" s="719"/>
      <c r="B4" s="709"/>
      <c r="C4" s="712"/>
      <c r="D4" s="712"/>
      <c r="E4" s="410">
        <v>2023</v>
      </c>
      <c r="F4" s="419">
        <v>2024</v>
      </c>
      <c r="G4" s="419">
        <v>2025</v>
      </c>
      <c r="H4" s="419">
        <v>2026</v>
      </c>
      <c r="I4" s="419">
        <v>2027</v>
      </c>
      <c r="J4" s="419">
        <v>2028</v>
      </c>
      <c r="K4" s="419">
        <v>2029</v>
      </c>
      <c r="L4" s="419">
        <v>2030</v>
      </c>
      <c r="M4" s="419">
        <v>2031</v>
      </c>
      <c r="N4" s="419">
        <v>2032</v>
      </c>
      <c r="O4" s="419">
        <v>2033</v>
      </c>
      <c r="P4" s="419">
        <v>2034</v>
      </c>
      <c r="Q4" s="419">
        <v>2035</v>
      </c>
      <c r="R4" s="419">
        <v>2036</v>
      </c>
      <c r="S4" s="419">
        <v>2037</v>
      </c>
    </row>
    <row r="5" spans="1:19" x14ac:dyDescent="0.3">
      <c r="A5" s="719"/>
      <c r="B5" s="709"/>
      <c r="C5" s="712"/>
      <c r="D5" s="712"/>
      <c r="E5" s="417">
        <v>-1</v>
      </c>
      <c r="F5" s="390">
        <v>1</v>
      </c>
      <c r="G5" s="390">
        <v>2</v>
      </c>
      <c r="H5" s="390">
        <v>3</v>
      </c>
      <c r="I5" s="390">
        <v>4</v>
      </c>
      <c r="J5" s="390">
        <v>5</v>
      </c>
      <c r="K5" s="390">
        <v>6</v>
      </c>
      <c r="L5" s="390">
        <v>7</v>
      </c>
      <c r="M5" s="390">
        <v>8</v>
      </c>
      <c r="N5" s="390">
        <v>9</v>
      </c>
      <c r="O5" s="390">
        <v>10</v>
      </c>
      <c r="P5" s="390">
        <v>11</v>
      </c>
      <c r="Q5" s="390">
        <v>12</v>
      </c>
      <c r="R5" s="390">
        <v>13</v>
      </c>
      <c r="S5" s="390">
        <v>14</v>
      </c>
    </row>
    <row r="6" spans="1:19" x14ac:dyDescent="0.3">
      <c r="A6" s="739" t="s">
        <v>435</v>
      </c>
      <c r="B6" s="355" t="s">
        <v>518</v>
      </c>
      <c r="C6" s="356" t="s">
        <v>415</v>
      </c>
      <c r="D6" s="357">
        <f>SUM(F6:S6)</f>
        <v>8769.0629314060643</v>
      </c>
      <c r="E6" s="357"/>
      <c r="F6" s="356">
        <f>'Обнов об.1 оч'!H39+'Обнов обор 2 оч'!H55</f>
        <v>3.7978447499999994</v>
      </c>
      <c r="G6" s="356">
        <f>'Обнов об.1 оч'!I39+'Обнов обор 2 оч'!I55</f>
        <v>393.62024474999998</v>
      </c>
      <c r="H6" s="356">
        <f>'Обнов об.1 оч'!J39+'Обнов обор 2 оч'!J55</f>
        <v>1505.0280226396558</v>
      </c>
      <c r="I6" s="356">
        <f>'Обнов об.1 оч'!K39+'Обнов обор 2 оч'!K55</f>
        <v>1950.7736179999999</v>
      </c>
      <c r="J6" s="356">
        <f>'Обнов об.1 оч'!L39+'Обнов обор 2 оч'!L55</f>
        <v>319.16346600175336</v>
      </c>
      <c r="K6" s="356">
        <f>'Обнов об.1 оч'!M39+'Обнов обор 2 оч'!M55</f>
        <v>1167.4067360499998</v>
      </c>
      <c r="L6" s="356">
        <f>'Обнов об.1 оч'!N39+'Обнов обор 2 оч'!N55</f>
        <v>165.17549323965565</v>
      </c>
      <c r="M6" s="356">
        <f>'Обнов об.1 оч'!O39+'Обнов обор 2 оч'!O55</f>
        <v>1499.53060635</v>
      </c>
      <c r="N6" s="356">
        <f>'Обнов об.1 оч'!P39+'Обнов обор 2 оч'!P55</f>
        <v>928.55793137499995</v>
      </c>
      <c r="O6" s="356">
        <f>'Обнов об.1 оч'!Q39+'Обнов обор 2 оч'!Q55</f>
        <v>776.47675314999992</v>
      </c>
      <c r="P6" s="356">
        <f>'Обнов об.1 оч'!R39+'Обнов обор 2 оч'!R55</f>
        <v>58.978423649999996</v>
      </c>
      <c r="Q6" s="356">
        <f>'Обнов об.1 оч'!S39+'Обнов обор 2 оч'!S55</f>
        <v>0.55379144999999996</v>
      </c>
      <c r="R6" s="356"/>
      <c r="S6" s="356"/>
    </row>
    <row r="7" spans="1:19" x14ac:dyDescent="0.3">
      <c r="A7" s="740"/>
      <c r="B7" s="358" t="s">
        <v>416</v>
      </c>
      <c r="C7" s="356" t="s">
        <v>415</v>
      </c>
      <c r="D7" s="359"/>
      <c r="E7" s="359"/>
      <c r="F7" s="360">
        <f>F6</f>
        <v>3.7978447499999994</v>
      </c>
      <c r="G7" s="360">
        <f>F10+G6</f>
        <v>396.46862831249996</v>
      </c>
      <c r="H7" s="413">
        <f t="shared" ref="H7:O7" si="0">G10+H6</f>
        <v>1802.3794938740307</v>
      </c>
      <c r="I7" s="413">
        <f t="shared" si="0"/>
        <v>3302.5582384055233</v>
      </c>
      <c r="J7" s="413">
        <f t="shared" si="0"/>
        <v>2796.082144805896</v>
      </c>
      <c r="K7" s="413">
        <f t="shared" si="0"/>
        <v>3264.4683446544218</v>
      </c>
      <c r="L7" s="413">
        <f t="shared" si="0"/>
        <v>2613.5267517304719</v>
      </c>
      <c r="M7" s="413">
        <f t="shared" si="0"/>
        <v>3459.6756701478539</v>
      </c>
      <c r="N7" s="413">
        <f t="shared" si="0"/>
        <v>3523.3146839858905</v>
      </c>
      <c r="O7" s="413">
        <f t="shared" si="0"/>
        <v>3418.9627661394179</v>
      </c>
      <c r="P7" s="413">
        <f>O10+P6</f>
        <v>2623.2004982545632</v>
      </c>
      <c r="Q7" s="356">
        <f>P10+Q6</f>
        <v>1967.9541651409224</v>
      </c>
      <c r="R7" s="356">
        <f t="shared" ref="R7:S7" si="1">Q10+R6</f>
        <v>1475.9656238556918</v>
      </c>
      <c r="S7" s="398">
        <f t="shared" si="1"/>
        <v>1106.9742178917688</v>
      </c>
    </row>
    <row r="8" spans="1:19" x14ac:dyDescent="0.3">
      <c r="A8" s="740"/>
      <c r="B8" s="358" t="s">
        <v>417</v>
      </c>
      <c r="C8" s="356" t="s">
        <v>415</v>
      </c>
      <c r="D8" s="361"/>
      <c r="E8" s="361"/>
      <c r="F8" s="361">
        <v>0.25</v>
      </c>
      <c r="G8" s="361">
        <f>F8</f>
        <v>0.25</v>
      </c>
      <c r="H8" s="361">
        <f t="shared" ref="H8:S8" si="2">G8</f>
        <v>0.25</v>
      </c>
      <c r="I8" s="361">
        <f t="shared" si="2"/>
        <v>0.25</v>
      </c>
      <c r="J8" s="361">
        <f t="shared" si="2"/>
        <v>0.25</v>
      </c>
      <c r="K8" s="361">
        <f t="shared" si="2"/>
        <v>0.25</v>
      </c>
      <c r="L8" s="361">
        <f t="shared" si="2"/>
        <v>0.25</v>
      </c>
      <c r="M8" s="361">
        <f t="shared" si="2"/>
        <v>0.25</v>
      </c>
      <c r="N8" s="361">
        <f t="shared" si="2"/>
        <v>0.25</v>
      </c>
      <c r="O8" s="361">
        <f t="shared" si="2"/>
        <v>0.25</v>
      </c>
      <c r="P8" s="361">
        <f t="shared" si="2"/>
        <v>0.25</v>
      </c>
      <c r="Q8" s="361">
        <f t="shared" si="2"/>
        <v>0.25</v>
      </c>
      <c r="R8" s="361">
        <f t="shared" si="2"/>
        <v>0.25</v>
      </c>
      <c r="S8" s="361">
        <f t="shared" si="2"/>
        <v>0.25</v>
      </c>
    </row>
    <row r="9" spans="1:19" x14ac:dyDescent="0.3">
      <c r="A9" s="740"/>
      <c r="B9" s="358" t="s">
        <v>418</v>
      </c>
      <c r="C9" s="356" t="s">
        <v>415</v>
      </c>
      <c r="D9" s="357">
        <f>SUM(F9:S9)</f>
        <v>8769.0629314060661</v>
      </c>
      <c r="E9" s="357"/>
      <c r="F9" s="360">
        <f t="shared" ref="F9:O9" si="3">F7*F8</f>
        <v>0.94946118749999986</v>
      </c>
      <c r="G9" s="360">
        <f t="shared" si="3"/>
        <v>99.11715707812499</v>
      </c>
      <c r="H9" s="360">
        <f t="shared" si="3"/>
        <v>450.59487346850767</v>
      </c>
      <c r="I9" s="360">
        <f t="shared" si="3"/>
        <v>825.63955960138082</v>
      </c>
      <c r="J9" s="360">
        <f t="shared" si="3"/>
        <v>699.02053620147399</v>
      </c>
      <c r="K9" s="360">
        <f t="shared" si="3"/>
        <v>816.11708616360545</v>
      </c>
      <c r="L9" s="360">
        <f t="shared" si="3"/>
        <v>653.38168793261798</v>
      </c>
      <c r="M9" s="360">
        <f t="shared" si="3"/>
        <v>864.91891753696348</v>
      </c>
      <c r="N9" s="360">
        <f t="shared" si="3"/>
        <v>880.82867099647262</v>
      </c>
      <c r="O9" s="360">
        <f t="shared" si="3"/>
        <v>854.74069153485448</v>
      </c>
      <c r="P9" s="360">
        <f>P7*P8</f>
        <v>655.80012456364079</v>
      </c>
      <c r="Q9" s="356">
        <f>Q7*Q8</f>
        <v>491.98854128523061</v>
      </c>
      <c r="R9" s="356">
        <f t="shared" ref="R9" si="4">R7*R8</f>
        <v>368.99140596392294</v>
      </c>
      <c r="S9" s="398">
        <f>S7</f>
        <v>1106.9742178917688</v>
      </c>
    </row>
    <row r="10" spans="1:19" x14ac:dyDescent="0.3">
      <c r="A10" s="740"/>
      <c r="B10" s="358" t="s">
        <v>419</v>
      </c>
      <c r="C10" s="356" t="s">
        <v>415</v>
      </c>
      <c r="D10" s="357"/>
      <c r="E10" s="357"/>
      <c r="F10" s="360">
        <f t="shared" ref="F10:O10" si="5">F7-F9</f>
        <v>2.8483835624999996</v>
      </c>
      <c r="G10" s="360">
        <f t="shared" si="5"/>
        <v>297.35147123437497</v>
      </c>
      <c r="H10" s="360">
        <f t="shared" si="5"/>
        <v>1351.7846204055231</v>
      </c>
      <c r="I10" s="360">
        <f t="shared" si="5"/>
        <v>2476.9186788041425</v>
      </c>
      <c r="J10" s="360">
        <f t="shared" si="5"/>
        <v>2097.061608604422</v>
      </c>
      <c r="K10" s="360">
        <f t="shared" si="5"/>
        <v>2448.3512584908162</v>
      </c>
      <c r="L10" s="360">
        <f t="shared" si="5"/>
        <v>1960.1450637978539</v>
      </c>
      <c r="M10" s="360">
        <f t="shared" si="5"/>
        <v>2594.7567526108905</v>
      </c>
      <c r="N10" s="360">
        <f t="shared" si="5"/>
        <v>2642.4860129894178</v>
      </c>
      <c r="O10" s="360">
        <f t="shared" si="5"/>
        <v>2564.2220746045632</v>
      </c>
      <c r="P10" s="360">
        <f>P7-P9</f>
        <v>1967.4003736909224</v>
      </c>
      <c r="Q10" s="356">
        <f>Q7-Q9</f>
        <v>1475.9656238556918</v>
      </c>
      <c r="R10" s="356">
        <f t="shared" ref="R10:S10" si="6">R7-R9</f>
        <v>1106.9742178917688</v>
      </c>
      <c r="S10" s="398">
        <f t="shared" si="6"/>
        <v>0</v>
      </c>
    </row>
    <row r="11" spans="1:19" x14ac:dyDescent="0.3">
      <c r="A11" s="740"/>
      <c r="B11" s="355" t="s">
        <v>520</v>
      </c>
      <c r="C11" s="356" t="s">
        <v>415</v>
      </c>
      <c r="D11" s="357">
        <f>SUM(F11:S11)</f>
        <v>1648.2064499999997</v>
      </c>
      <c r="E11" s="357"/>
      <c r="F11" s="356">
        <f>ПИР!G20*15%</f>
        <v>247.23096749999993</v>
      </c>
      <c r="G11" s="356">
        <f>ПИР!G20*85%</f>
        <v>1400.9754824999998</v>
      </c>
      <c r="H11" s="356">
        <f>'Обнов об.1 оч'!J44+'Обнов обор 2 оч'!J60</f>
        <v>0</v>
      </c>
      <c r="I11" s="356">
        <f>'Обнов об.1 оч'!K44+'Обнов обор 2 оч'!K60</f>
        <v>0</v>
      </c>
      <c r="J11" s="356">
        <f>'Обнов об.1 оч'!L44+'Обнов обор 2 оч'!L60</f>
        <v>0</v>
      </c>
      <c r="K11" s="356">
        <f>'Обнов об.1 оч'!M44+'Обнов обор 2 оч'!M60</f>
        <v>0</v>
      </c>
      <c r="L11" s="356">
        <f>'Обнов об.1 оч'!N44+'Обнов обор 2 оч'!N60</f>
        <v>0</v>
      </c>
      <c r="M11" s="356">
        <f>'Обнов об.1 оч'!O44+'Обнов обор 2 оч'!O60</f>
        <v>0</v>
      </c>
      <c r="N11" s="356">
        <f>'Обнов об.1 оч'!P44+'Обнов обор 2 оч'!P60</f>
        <v>0</v>
      </c>
      <c r="O11" s="356">
        <f>'Обнов об.1 оч'!Q44+'Обнов обор 2 оч'!Q60</f>
        <v>0</v>
      </c>
      <c r="P11" s="356">
        <f>'Обнов об.1 оч'!R44+'Обнов обор 2 оч'!R60</f>
        <v>0</v>
      </c>
      <c r="Q11" s="356">
        <f>'Обнов об.1 оч'!S44+'Обнов обор 2 оч'!S60</f>
        <v>0</v>
      </c>
      <c r="R11" s="356"/>
      <c r="S11" s="356"/>
    </row>
    <row r="12" spans="1:19" x14ac:dyDescent="0.3">
      <c r="A12" s="740"/>
      <c r="B12" s="358" t="s">
        <v>416</v>
      </c>
      <c r="C12" s="356" t="s">
        <v>415</v>
      </c>
      <c r="D12" s="359"/>
      <c r="E12" s="359"/>
      <c r="F12" s="360">
        <f>F11</f>
        <v>247.23096749999993</v>
      </c>
      <c r="G12" s="360">
        <f>F15+G11</f>
        <v>1586.3987081249998</v>
      </c>
      <c r="H12" s="413">
        <f t="shared" ref="H12" si="7">G15+H11</f>
        <v>1189.7990310937498</v>
      </c>
      <c r="I12" s="413">
        <f t="shared" ref="I12" si="8">H15+I11</f>
        <v>892.34927332031236</v>
      </c>
      <c r="J12" s="413">
        <f t="shared" ref="J12" si="9">I15+J11</f>
        <v>669.26195499023424</v>
      </c>
      <c r="K12" s="413">
        <f t="shared" ref="K12" si="10">J15+K11</f>
        <v>501.94646624267568</v>
      </c>
      <c r="L12" s="413">
        <f t="shared" ref="L12" si="11">K15+L11</f>
        <v>376.45984968200673</v>
      </c>
      <c r="M12" s="413">
        <f t="shared" ref="M12" si="12">L15+M11</f>
        <v>282.34488726150505</v>
      </c>
      <c r="N12" s="413">
        <f t="shared" ref="N12" si="13">M15+N11</f>
        <v>211.75866544612879</v>
      </c>
      <c r="O12" s="413">
        <f t="shared" ref="O12" si="14">N15+O11</f>
        <v>158.81899908459658</v>
      </c>
      <c r="P12" s="413">
        <f>O15+P11</f>
        <v>119.11424931344743</v>
      </c>
      <c r="Q12" s="356">
        <f>P15+Q11</f>
        <v>89.335686985085573</v>
      </c>
      <c r="R12" s="356">
        <f t="shared" ref="R12" si="15">Q15+R11</f>
        <v>67.001765238814187</v>
      </c>
      <c r="S12" s="398">
        <f t="shared" ref="S12" si="16">R15+S11</f>
        <v>50.25132392911064</v>
      </c>
    </row>
    <row r="13" spans="1:19" x14ac:dyDescent="0.3">
      <c r="A13" s="740"/>
      <c r="B13" s="358" t="s">
        <v>417</v>
      </c>
      <c r="C13" s="356" t="s">
        <v>415</v>
      </c>
      <c r="D13" s="361"/>
      <c r="E13" s="361"/>
      <c r="F13" s="361">
        <v>0.25</v>
      </c>
      <c r="G13" s="361">
        <f>F13</f>
        <v>0.25</v>
      </c>
      <c r="H13" s="361">
        <f t="shared" ref="H13:S13" si="17">G13</f>
        <v>0.25</v>
      </c>
      <c r="I13" s="361">
        <f t="shared" si="17"/>
        <v>0.25</v>
      </c>
      <c r="J13" s="361">
        <f t="shared" si="17"/>
        <v>0.25</v>
      </c>
      <c r="K13" s="361">
        <f t="shared" si="17"/>
        <v>0.25</v>
      </c>
      <c r="L13" s="361">
        <f t="shared" si="17"/>
        <v>0.25</v>
      </c>
      <c r="M13" s="361">
        <f t="shared" si="17"/>
        <v>0.25</v>
      </c>
      <c r="N13" s="361">
        <f t="shared" si="17"/>
        <v>0.25</v>
      </c>
      <c r="O13" s="361">
        <f t="shared" si="17"/>
        <v>0.25</v>
      </c>
      <c r="P13" s="361">
        <f t="shared" si="17"/>
        <v>0.25</v>
      </c>
      <c r="Q13" s="361">
        <f t="shared" si="17"/>
        <v>0.25</v>
      </c>
      <c r="R13" s="361">
        <f t="shared" si="17"/>
        <v>0.25</v>
      </c>
      <c r="S13" s="361">
        <f t="shared" si="17"/>
        <v>0.25</v>
      </c>
    </row>
    <row r="14" spans="1:19" x14ac:dyDescent="0.3">
      <c r="A14" s="740"/>
      <c r="B14" s="358" t="s">
        <v>418</v>
      </c>
      <c r="C14" s="356" t="s">
        <v>415</v>
      </c>
      <c r="D14" s="357">
        <f>SUM(F14:S14)</f>
        <v>1648.2064499999999</v>
      </c>
      <c r="E14" s="357"/>
      <c r="F14" s="360">
        <f t="shared" ref="F14:O14" si="18">F12*F13</f>
        <v>61.807741874999984</v>
      </c>
      <c r="G14" s="360">
        <f t="shared" si="18"/>
        <v>396.59967703124994</v>
      </c>
      <c r="H14" s="360">
        <f t="shared" si="18"/>
        <v>297.44975777343745</v>
      </c>
      <c r="I14" s="360">
        <f t="shared" si="18"/>
        <v>223.08731833007809</v>
      </c>
      <c r="J14" s="360">
        <f t="shared" si="18"/>
        <v>167.31548874755856</v>
      </c>
      <c r="K14" s="360">
        <f t="shared" si="18"/>
        <v>125.48661656066892</v>
      </c>
      <c r="L14" s="360">
        <f t="shared" si="18"/>
        <v>94.114962420501683</v>
      </c>
      <c r="M14" s="360">
        <f t="shared" si="18"/>
        <v>70.586221815376263</v>
      </c>
      <c r="N14" s="360">
        <f t="shared" si="18"/>
        <v>52.939666361532197</v>
      </c>
      <c r="O14" s="360">
        <f t="shared" si="18"/>
        <v>39.704749771149146</v>
      </c>
      <c r="P14" s="360">
        <f>P12*P13</f>
        <v>29.778562328361858</v>
      </c>
      <c r="Q14" s="356">
        <f>Q12*Q13</f>
        <v>22.333921746271393</v>
      </c>
      <c r="R14" s="356">
        <f t="shared" ref="R14" si="19">R12*R13</f>
        <v>16.750441309703547</v>
      </c>
      <c r="S14" s="398">
        <f>S12</f>
        <v>50.25132392911064</v>
      </c>
    </row>
    <row r="15" spans="1:19" x14ac:dyDescent="0.3">
      <c r="A15" s="740"/>
      <c r="B15" s="358" t="s">
        <v>419</v>
      </c>
      <c r="C15" s="356" t="s">
        <v>415</v>
      </c>
      <c r="D15" s="357"/>
      <c r="E15" s="357"/>
      <c r="F15" s="360">
        <f t="shared" ref="F15:O15" si="20">F12-F14</f>
        <v>185.42322562499996</v>
      </c>
      <c r="G15" s="360">
        <f t="shared" si="20"/>
        <v>1189.7990310937498</v>
      </c>
      <c r="H15" s="360">
        <f t="shared" si="20"/>
        <v>892.34927332031236</v>
      </c>
      <c r="I15" s="360">
        <f t="shared" si="20"/>
        <v>669.26195499023424</v>
      </c>
      <c r="J15" s="360">
        <f t="shared" si="20"/>
        <v>501.94646624267568</v>
      </c>
      <c r="K15" s="360">
        <f t="shared" si="20"/>
        <v>376.45984968200673</v>
      </c>
      <c r="L15" s="360">
        <f t="shared" si="20"/>
        <v>282.34488726150505</v>
      </c>
      <c r="M15" s="360">
        <f t="shared" si="20"/>
        <v>211.75866544612879</v>
      </c>
      <c r="N15" s="360">
        <f t="shared" si="20"/>
        <v>158.81899908459658</v>
      </c>
      <c r="O15" s="360">
        <f t="shared" si="20"/>
        <v>119.11424931344743</v>
      </c>
      <c r="P15" s="360">
        <f>P12-P14</f>
        <v>89.335686985085573</v>
      </c>
      <c r="Q15" s="356">
        <f>Q12-Q14</f>
        <v>67.001765238814187</v>
      </c>
      <c r="R15" s="356">
        <f t="shared" ref="R15:S15" si="21">R12-R14</f>
        <v>50.25132392911064</v>
      </c>
      <c r="S15" s="398">
        <f t="shared" si="21"/>
        <v>0</v>
      </c>
    </row>
    <row r="16" spans="1:19" x14ac:dyDescent="0.3">
      <c r="A16" s="740"/>
      <c r="B16" s="368" t="s">
        <v>439</v>
      </c>
      <c r="C16" s="356" t="s">
        <v>415</v>
      </c>
      <c r="D16" s="357">
        <f>SUM(F16:S16)</f>
        <v>10417.269381406064</v>
      </c>
      <c r="E16" s="357"/>
      <c r="F16" s="360">
        <f>F9+F14</f>
        <v>62.757203062499983</v>
      </c>
      <c r="G16" s="360">
        <f t="shared" ref="G16:S16" si="22">G9+G14</f>
        <v>495.71683410937493</v>
      </c>
      <c r="H16" s="360">
        <f t="shared" si="22"/>
        <v>748.04463124194513</v>
      </c>
      <c r="I16" s="360">
        <f t="shared" si="22"/>
        <v>1048.7268779314588</v>
      </c>
      <c r="J16" s="360">
        <f t="shared" si="22"/>
        <v>866.33602494903255</v>
      </c>
      <c r="K16" s="360">
        <f t="shared" si="22"/>
        <v>941.6037027242744</v>
      </c>
      <c r="L16" s="360">
        <f t="shared" si="22"/>
        <v>747.49665035311966</v>
      </c>
      <c r="M16" s="360">
        <f t="shared" si="22"/>
        <v>935.50513935233971</v>
      </c>
      <c r="N16" s="360">
        <f t="shared" si="22"/>
        <v>933.76833735800483</v>
      </c>
      <c r="O16" s="360">
        <f t="shared" si="22"/>
        <v>894.44544130600366</v>
      </c>
      <c r="P16" s="360">
        <f t="shared" si="22"/>
        <v>685.57868689200268</v>
      </c>
      <c r="Q16" s="360">
        <f t="shared" si="22"/>
        <v>514.32246303150202</v>
      </c>
      <c r="R16" s="360">
        <f t="shared" si="22"/>
        <v>385.74184727362649</v>
      </c>
      <c r="S16" s="360">
        <f t="shared" si="22"/>
        <v>1157.2255418208795</v>
      </c>
    </row>
    <row r="17" spans="1:19" ht="15" thickBot="1" x14ac:dyDescent="0.35">
      <c r="A17" s="741"/>
      <c r="B17" s="401" t="s">
        <v>425</v>
      </c>
      <c r="C17" s="402" t="s">
        <v>415</v>
      </c>
      <c r="D17" s="357">
        <f>SUM(F17:S17)</f>
        <v>27780.131518755556</v>
      </c>
      <c r="E17" s="357"/>
      <c r="F17" s="360">
        <f>F10+F15</f>
        <v>188.27160918749996</v>
      </c>
      <c r="G17" s="360">
        <f t="shared" ref="G17:S17" si="23">G10+G15</f>
        <v>1487.1505023281247</v>
      </c>
      <c r="H17" s="360">
        <f t="shared" si="23"/>
        <v>2244.1338937258356</v>
      </c>
      <c r="I17" s="360">
        <f t="shared" si="23"/>
        <v>3146.1806337943767</v>
      </c>
      <c r="J17" s="360">
        <f t="shared" si="23"/>
        <v>2599.0080748470978</v>
      </c>
      <c r="K17" s="360">
        <f t="shared" si="23"/>
        <v>2824.811108172823</v>
      </c>
      <c r="L17" s="360">
        <f t="shared" si="23"/>
        <v>2242.4899510593591</v>
      </c>
      <c r="M17" s="360">
        <f t="shared" si="23"/>
        <v>2806.5154180570194</v>
      </c>
      <c r="N17" s="360">
        <f t="shared" si="23"/>
        <v>2801.3050120740145</v>
      </c>
      <c r="O17" s="360">
        <f t="shared" si="23"/>
        <v>2683.3363239180107</v>
      </c>
      <c r="P17" s="360">
        <f t="shared" si="23"/>
        <v>2056.736060676008</v>
      </c>
      <c r="Q17" s="360">
        <f t="shared" si="23"/>
        <v>1542.967389094506</v>
      </c>
      <c r="R17" s="360">
        <f t="shared" si="23"/>
        <v>1157.2255418208795</v>
      </c>
      <c r="S17" s="360">
        <f t="shared" si="23"/>
        <v>0</v>
      </c>
    </row>
    <row r="18" spans="1:19" x14ac:dyDescent="0.3">
      <c r="A18" s="418"/>
      <c r="B18" s="358"/>
      <c r="C18" s="356"/>
      <c r="D18" s="357"/>
      <c r="E18" s="357"/>
      <c r="F18" s="360"/>
      <c r="G18" s="360"/>
      <c r="H18" s="360"/>
      <c r="I18" s="360"/>
      <c r="J18" s="360"/>
      <c r="K18" s="360"/>
      <c r="L18" s="360"/>
      <c r="M18" s="360"/>
      <c r="N18" s="360"/>
      <c r="O18" s="360"/>
      <c r="P18" s="360"/>
      <c r="Q18" s="356"/>
      <c r="R18" s="356"/>
      <c r="S18" s="398"/>
    </row>
    <row r="19" spans="1:19" x14ac:dyDescent="0.3">
      <c r="A19" s="716" t="s">
        <v>436</v>
      </c>
      <c r="B19" s="355" t="s">
        <v>491</v>
      </c>
      <c r="C19" s="356" t="s">
        <v>415</v>
      </c>
      <c r="D19" s="357"/>
      <c r="E19" s="357"/>
      <c r="F19" s="356"/>
      <c r="G19" s="356"/>
      <c r="H19" s="356"/>
      <c r="I19" s="356"/>
      <c r="J19" s="356"/>
      <c r="K19" s="356"/>
      <c r="L19" s="356"/>
      <c r="M19" s="356"/>
      <c r="N19" s="356"/>
      <c r="O19" s="356"/>
      <c r="P19" s="356"/>
      <c r="Q19" s="356"/>
      <c r="R19" s="356"/>
      <c r="S19" s="416"/>
    </row>
    <row r="20" spans="1:19" x14ac:dyDescent="0.3">
      <c r="A20" s="716"/>
      <c r="B20" s="358" t="s">
        <v>416</v>
      </c>
      <c r="C20" s="356" t="s">
        <v>415</v>
      </c>
      <c r="D20" s="359"/>
      <c r="E20" s="359"/>
      <c r="F20" s="360"/>
      <c r="G20" s="360"/>
      <c r="H20" s="360"/>
      <c r="I20" s="360"/>
      <c r="J20" s="360"/>
      <c r="K20" s="360"/>
      <c r="L20" s="360"/>
      <c r="M20" s="360"/>
      <c r="N20" s="360"/>
      <c r="O20" s="360"/>
      <c r="P20" s="360"/>
      <c r="Q20" s="356"/>
      <c r="R20" s="356"/>
      <c r="S20" s="398"/>
    </row>
    <row r="21" spans="1:19" x14ac:dyDescent="0.3">
      <c r="A21" s="716"/>
      <c r="B21" s="358" t="s">
        <v>417</v>
      </c>
      <c r="C21" s="356" t="s">
        <v>415</v>
      </c>
      <c r="D21" s="361"/>
      <c r="E21" s="361"/>
      <c r="F21" s="361"/>
      <c r="G21" s="361"/>
      <c r="H21" s="361"/>
      <c r="I21" s="361"/>
      <c r="J21" s="361"/>
      <c r="K21" s="361"/>
      <c r="L21" s="361"/>
      <c r="M21" s="361"/>
      <c r="N21" s="361"/>
      <c r="O21" s="361"/>
      <c r="P21" s="361"/>
      <c r="Q21" s="361"/>
      <c r="R21" s="361"/>
      <c r="S21" s="399"/>
    </row>
    <row r="22" spans="1:19" x14ac:dyDescent="0.3">
      <c r="A22" s="716"/>
      <c r="B22" s="358" t="s">
        <v>418</v>
      </c>
      <c r="C22" s="356" t="s">
        <v>415</v>
      </c>
      <c r="D22" s="357"/>
      <c r="E22" s="357"/>
      <c r="F22" s="360"/>
      <c r="G22" s="360"/>
      <c r="H22" s="360"/>
      <c r="I22" s="360"/>
      <c r="J22" s="360"/>
      <c r="K22" s="360"/>
      <c r="L22" s="360"/>
      <c r="M22" s="360"/>
      <c r="N22" s="360"/>
      <c r="O22" s="360"/>
      <c r="P22" s="360"/>
      <c r="Q22" s="356"/>
      <c r="R22" s="356"/>
      <c r="S22" s="398"/>
    </row>
    <row r="23" spans="1:19" x14ac:dyDescent="0.3">
      <c r="A23" s="716"/>
      <c r="B23" s="358" t="s">
        <v>419</v>
      </c>
      <c r="C23" s="356" t="s">
        <v>415</v>
      </c>
      <c r="D23" s="357"/>
      <c r="E23" s="357"/>
      <c r="F23" s="360"/>
      <c r="G23" s="360"/>
      <c r="H23" s="360"/>
      <c r="I23" s="360"/>
      <c r="J23" s="360"/>
      <c r="K23" s="360"/>
      <c r="L23" s="360"/>
      <c r="M23" s="360"/>
      <c r="N23" s="360"/>
      <c r="O23" s="360"/>
      <c r="P23" s="360"/>
      <c r="Q23" s="356"/>
      <c r="R23" s="356"/>
      <c r="S23" s="398"/>
    </row>
    <row r="24" spans="1:19" x14ac:dyDescent="0.3">
      <c r="A24" s="716"/>
      <c r="B24" s="368" t="s">
        <v>439</v>
      </c>
      <c r="C24" s="356" t="s">
        <v>415</v>
      </c>
      <c r="D24" s="357"/>
      <c r="E24" s="357"/>
      <c r="F24" s="370"/>
      <c r="G24" s="370"/>
      <c r="H24" s="370"/>
      <c r="I24" s="370"/>
      <c r="J24" s="370"/>
      <c r="K24" s="370"/>
      <c r="L24" s="370"/>
      <c r="M24" s="370"/>
      <c r="N24" s="370"/>
      <c r="O24" s="370"/>
      <c r="P24" s="370"/>
      <c r="Q24" s="370"/>
      <c r="R24" s="370"/>
      <c r="S24" s="400"/>
    </row>
    <row r="25" spans="1:19" ht="15" thickBot="1" x14ac:dyDescent="0.35">
      <c r="A25" s="738"/>
      <c r="B25" s="401" t="s">
        <v>425</v>
      </c>
      <c r="C25" s="402" t="s">
        <v>415</v>
      </c>
      <c r="D25" s="403"/>
      <c r="E25" s="403"/>
      <c r="F25" s="404"/>
      <c r="G25" s="404"/>
      <c r="H25" s="404"/>
      <c r="I25" s="404"/>
      <c r="J25" s="404"/>
      <c r="K25" s="404"/>
      <c r="L25" s="404"/>
      <c r="M25" s="404"/>
      <c r="N25" s="404"/>
      <c r="O25" s="404"/>
      <c r="P25" s="404"/>
      <c r="Q25" s="404"/>
      <c r="R25" s="404"/>
      <c r="S25" s="405"/>
    </row>
    <row r="26" spans="1:19" x14ac:dyDescent="0.3">
      <c r="A26" s="716" t="s">
        <v>437</v>
      </c>
      <c r="B26" s="355" t="s">
        <v>491</v>
      </c>
      <c r="C26" s="356" t="s">
        <v>415</v>
      </c>
      <c r="D26" s="357"/>
      <c r="E26" s="357"/>
      <c r="F26" s="356"/>
      <c r="G26" s="356"/>
      <c r="H26" s="356"/>
      <c r="I26" s="356"/>
      <c r="J26" s="356"/>
      <c r="K26" s="356"/>
      <c r="L26" s="356"/>
      <c r="M26" s="356"/>
      <c r="N26" s="356"/>
      <c r="O26" s="356"/>
      <c r="P26" s="356"/>
      <c r="Q26" s="356"/>
      <c r="R26" s="356"/>
      <c r="S26" s="416"/>
    </row>
    <row r="27" spans="1:19" x14ac:dyDescent="0.3">
      <c r="A27" s="716"/>
      <c r="B27" s="358" t="s">
        <v>416</v>
      </c>
      <c r="C27" s="356" t="s">
        <v>415</v>
      </c>
      <c r="D27" s="359"/>
      <c r="E27" s="359"/>
      <c r="F27" s="360"/>
      <c r="G27" s="360"/>
      <c r="H27" s="360"/>
      <c r="I27" s="360"/>
      <c r="J27" s="360"/>
      <c r="K27" s="360"/>
      <c r="L27" s="360"/>
      <c r="M27" s="360"/>
      <c r="N27" s="360"/>
      <c r="O27" s="360"/>
      <c r="P27" s="360"/>
      <c r="Q27" s="356"/>
      <c r="R27" s="356"/>
      <c r="S27" s="398"/>
    </row>
    <row r="28" spans="1:19" x14ac:dyDescent="0.3">
      <c r="A28" s="716"/>
      <c r="B28" s="358" t="s">
        <v>417</v>
      </c>
      <c r="C28" s="356" t="s">
        <v>415</v>
      </c>
      <c r="D28" s="361"/>
      <c r="E28" s="361"/>
      <c r="F28" s="361"/>
      <c r="G28" s="361"/>
      <c r="H28" s="361"/>
      <c r="I28" s="361"/>
      <c r="J28" s="361"/>
      <c r="K28" s="361"/>
      <c r="L28" s="361"/>
      <c r="M28" s="361"/>
      <c r="N28" s="361"/>
      <c r="O28" s="361"/>
      <c r="P28" s="361"/>
      <c r="Q28" s="361"/>
      <c r="R28" s="361"/>
      <c r="S28" s="399"/>
    </row>
    <row r="29" spans="1:19" x14ac:dyDescent="0.3">
      <c r="A29" s="716"/>
      <c r="B29" s="358" t="s">
        <v>418</v>
      </c>
      <c r="C29" s="356" t="s">
        <v>415</v>
      </c>
      <c r="D29" s="357"/>
      <c r="E29" s="357"/>
      <c r="F29" s="360"/>
      <c r="G29" s="360"/>
      <c r="H29" s="360"/>
      <c r="I29" s="360"/>
      <c r="J29" s="360"/>
      <c r="K29" s="360"/>
      <c r="L29" s="360"/>
      <c r="M29" s="360"/>
      <c r="N29" s="360"/>
      <c r="O29" s="360"/>
      <c r="P29" s="360"/>
      <c r="Q29" s="356"/>
      <c r="R29" s="356"/>
      <c r="S29" s="398"/>
    </row>
    <row r="30" spans="1:19" x14ac:dyDescent="0.3">
      <c r="A30" s="716"/>
      <c r="B30" s="358" t="s">
        <v>419</v>
      </c>
      <c r="C30" s="356" t="s">
        <v>415</v>
      </c>
      <c r="D30" s="357"/>
      <c r="E30" s="357"/>
      <c r="F30" s="360"/>
      <c r="G30" s="360"/>
      <c r="H30" s="360"/>
      <c r="I30" s="360"/>
      <c r="J30" s="360"/>
      <c r="K30" s="360"/>
      <c r="L30" s="360"/>
      <c r="M30" s="360"/>
      <c r="N30" s="360"/>
      <c r="O30" s="360"/>
      <c r="P30" s="360"/>
      <c r="Q30" s="356"/>
      <c r="R30" s="356"/>
      <c r="S30" s="398"/>
    </row>
    <row r="31" spans="1:19" x14ac:dyDescent="0.3">
      <c r="A31" s="716"/>
      <c r="B31" s="368" t="s">
        <v>439</v>
      </c>
      <c r="C31" s="356" t="s">
        <v>415</v>
      </c>
      <c r="D31" s="357"/>
      <c r="E31" s="357"/>
      <c r="F31" s="370"/>
      <c r="G31" s="370"/>
      <c r="H31" s="370"/>
      <c r="I31" s="370"/>
      <c r="J31" s="370"/>
      <c r="K31" s="370"/>
      <c r="L31" s="370"/>
      <c r="M31" s="370"/>
      <c r="N31" s="370"/>
      <c r="O31" s="370"/>
      <c r="P31" s="370"/>
      <c r="Q31" s="370"/>
      <c r="R31" s="370"/>
      <c r="S31" s="400"/>
    </row>
    <row r="32" spans="1:19" ht="15" thickBot="1" x14ac:dyDescent="0.35">
      <c r="A32" s="738"/>
      <c r="B32" s="401" t="s">
        <v>425</v>
      </c>
      <c r="C32" s="402" t="s">
        <v>415</v>
      </c>
      <c r="D32" s="403"/>
      <c r="E32" s="403"/>
      <c r="F32" s="404"/>
      <c r="G32" s="404"/>
      <c r="H32" s="404"/>
      <c r="I32" s="404"/>
      <c r="J32" s="404"/>
      <c r="K32" s="404"/>
      <c r="L32" s="404"/>
      <c r="M32" s="404"/>
      <c r="N32" s="404"/>
      <c r="O32" s="404"/>
      <c r="P32" s="404"/>
      <c r="Q32" s="404"/>
      <c r="R32" s="404"/>
      <c r="S32" s="405"/>
    </row>
  </sheetData>
  <mergeCells count="8">
    <mergeCell ref="C3:C5"/>
    <mergeCell ref="D3:D5"/>
    <mergeCell ref="F3:S3"/>
    <mergeCell ref="A19:A25"/>
    <mergeCell ref="A26:A32"/>
    <mergeCell ref="A6:A17"/>
    <mergeCell ref="A3:A5"/>
    <mergeCell ref="B3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И. Д.</vt:lpstr>
      <vt:lpstr>ТЭП</vt:lpstr>
      <vt:lpstr>ФЭМ 0.9</vt:lpstr>
      <vt:lpstr>Запасы</vt:lpstr>
      <vt:lpstr>ФЭМ 1.2</vt:lpstr>
      <vt:lpstr>ФЭМ 1.5</vt:lpstr>
      <vt:lpstr>Расч эксп запасов</vt:lpstr>
      <vt:lpstr>календари</vt:lpstr>
      <vt:lpstr>Данные по переработке</vt:lpstr>
      <vt:lpstr>цены и инфл</vt:lpstr>
      <vt:lpstr>Инфл. тенге</vt:lpstr>
      <vt:lpstr>П и Р для залежей</vt:lpstr>
      <vt:lpstr>изв металл</vt:lpstr>
      <vt:lpstr>ОС</vt:lpstr>
      <vt:lpstr>Аморт ОС</vt:lpstr>
      <vt:lpstr>Аморт ГКР</vt:lpstr>
      <vt:lpstr>Обнов об.1 оч</vt:lpstr>
      <vt:lpstr>Обнов обор 2 оч</vt:lpstr>
      <vt:lpstr>ПИР</vt:lpstr>
      <vt:lpstr>Амор на доп обор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Ергалиева Дария</dc:creator>
  <cp:lastModifiedBy>10</cp:lastModifiedBy>
  <cp:lastPrinted>2022-09-16T06:07:33Z</cp:lastPrinted>
  <dcterms:created xsi:type="dcterms:W3CDTF">2021-04-22T07:05:27Z</dcterms:created>
  <dcterms:modified xsi:type="dcterms:W3CDTF">2024-12-02T02:31:14Z</dcterms:modified>
</cp:coreProperties>
</file>